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rdaankharbanda/Desktop/"/>
    </mc:Choice>
  </mc:AlternateContent>
  <xr:revisionPtr revIDLastSave="0" documentId="8_{1F27CE81-24A5-6D49-8FC4-7741086E2EB1}" xr6:coauthVersionLast="47" xr6:coauthVersionMax="47" xr10:uidLastSave="{00000000-0000-0000-0000-000000000000}"/>
  <bookViews>
    <workbookView xWindow="0" yWindow="0" windowWidth="28800" windowHeight="18000" activeTab="9" xr2:uid="{2613C89C-C7F4-8B44-80BA-7192C225EF83}"/>
  </bookViews>
  <sheets>
    <sheet name="IS - FS" sheetId="5" r:id="rId1"/>
    <sheet name="BS - FS" sheetId="7" r:id="rId2"/>
    <sheet name="CFS - FS" sheetId="6" r:id="rId3"/>
    <sheet name="Historical Rev. - % - FS" sheetId="8" r:id="rId4"/>
    <sheet name="Assumptions" sheetId="2" r:id="rId5"/>
    <sheet name="Revenue Build" sheetId="3" r:id="rId6"/>
    <sheet name="Financial Statement Model" sheetId="1" r:id="rId7"/>
    <sheet name="WACC" sheetId="9" r:id="rId8"/>
    <sheet name="Comps" sheetId="11" r:id="rId9"/>
    <sheet name="DCF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0" l="1"/>
  <c r="K154" i="1"/>
  <c r="L154" i="1" s="1"/>
  <c r="M154" i="1" s="1"/>
  <c r="J154" i="1"/>
  <c r="I154" i="1"/>
  <c r="K148" i="1"/>
  <c r="L148" i="1"/>
  <c r="M148" i="1"/>
  <c r="J148" i="1"/>
  <c r="I148" i="1"/>
  <c r="K146" i="1"/>
  <c r="L146" i="1" s="1"/>
  <c r="M146" i="1" s="1"/>
  <c r="J146" i="1"/>
  <c r="I146" i="1"/>
  <c r="I85" i="10" l="1"/>
  <c r="I13" i="9"/>
  <c r="H13" i="9"/>
  <c r="G13" i="9"/>
  <c r="N10" i="11"/>
  <c r="M10" i="11"/>
  <c r="E17" i="11"/>
  <c r="D17" i="11"/>
  <c r="D20" i="11"/>
  <c r="K70" i="10" l="1"/>
  <c r="J70" i="10"/>
  <c r="D18" i="11"/>
  <c r="D19" i="11"/>
  <c r="L31" i="2"/>
  <c r="L26" i="2"/>
  <c r="M31" i="2"/>
  <c r="M43" i="10"/>
  <c r="N43" i="10" s="1"/>
  <c r="L43" i="10"/>
  <c r="I44" i="10"/>
  <c r="F37" i="10"/>
  <c r="G37" i="10"/>
  <c r="H37" i="10"/>
  <c r="I37" i="10"/>
  <c r="J37" i="10"/>
  <c r="K37" i="10"/>
  <c r="L37" i="10"/>
  <c r="E37" i="10"/>
  <c r="G36" i="10"/>
  <c r="H36" i="10"/>
  <c r="I36" i="10"/>
  <c r="F36" i="10"/>
  <c r="F35" i="10"/>
  <c r="G35" i="10"/>
  <c r="H35" i="10"/>
  <c r="I35" i="10"/>
  <c r="E35" i="10"/>
  <c r="F31" i="10"/>
  <c r="G31" i="10"/>
  <c r="G30" i="10" s="1"/>
  <c r="H31" i="10"/>
  <c r="I31" i="10"/>
  <c r="I30" i="10" s="1"/>
  <c r="J31" i="10"/>
  <c r="K31" i="10"/>
  <c r="L31" i="10"/>
  <c r="M31" i="10"/>
  <c r="N31" i="10"/>
  <c r="E31" i="10"/>
  <c r="E30" i="10" s="1"/>
  <c r="F30" i="10"/>
  <c r="H30" i="10"/>
  <c r="F27" i="10"/>
  <c r="G27" i="10"/>
  <c r="H27" i="10"/>
  <c r="I27" i="10"/>
  <c r="E27" i="10"/>
  <c r="F24" i="10"/>
  <c r="G24" i="10"/>
  <c r="H24" i="10"/>
  <c r="I24" i="10"/>
  <c r="E24" i="10"/>
  <c r="F21" i="10"/>
  <c r="G21" i="10"/>
  <c r="H21" i="10"/>
  <c r="I21" i="10"/>
  <c r="E21" i="10"/>
  <c r="E19" i="10"/>
  <c r="F19" i="10"/>
  <c r="G19" i="10"/>
  <c r="H19" i="10"/>
  <c r="I19" i="10"/>
  <c r="K19" i="10"/>
  <c r="L19" i="10"/>
  <c r="M19" i="10"/>
  <c r="N19" i="10"/>
  <c r="J19" i="10"/>
  <c r="F18" i="10"/>
  <c r="G18" i="10"/>
  <c r="H18" i="10"/>
  <c r="N18" i="10"/>
  <c r="M18" i="10"/>
  <c r="L18" i="10"/>
  <c r="K18" i="10"/>
  <c r="J18" i="10"/>
  <c r="I18" i="10"/>
  <c r="E18" i="10"/>
  <c r="D10" i="10" l="1"/>
  <c r="G9" i="11" l="1"/>
  <c r="N60" i="10"/>
  <c r="I60" i="10"/>
  <c r="M7" i="11"/>
  <c r="N7" i="11"/>
  <c r="O7" i="11"/>
  <c r="P9" i="11" l="1"/>
  <c r="N58" i="10"/>
  <c r="J44" i="10"/>
  <c r="O9" i="11"/>
  <c r="N9" i="11"/>
  <c r="M9" i="11"/>
  <c r="I136" i="1" l="1"/>
  <c r="I129" i="1"/>
  <c r="I104" i="1"/>
  <c r="E14" i="3"/>
  <c r="K33" i="2"/>
  <c r="K28" i="2"/>
  <c r="K23" i="2"/>
  <c r="D90" i="10"/>
  <c r="D89" i="10" s="1"/>
  <c r="D88" i="10" s="1"/>
  <c r="D87" i="10" s="1"/>
  <c r="D86" i="10" s="1"/>
  <c r="D92" i="10"/>
  <c r="D93" i="10" s="1"/>
  <c r="D94" i="10" s="1"/>
  <c r="D95" i="10" s="1"/>
  <c r="D96" i="10" s="1"/>
  <c r="D75" i="10"/>
  <c r="D74" i="10" s="1"/>
  <c r="D73" i="10" s="1"/>
  <c r="D72" i="10" s="1"/>
  <c r="D71" i="10" s="1"/>
  <c r="D77" i="10"/>
  <c r="D78" i="10" s="1"/>
  <c r="D79" i="10" s="1"/>
  <c r="D80" i="10" s="1"/>
  <c r="D81" i="10" s="1"/>
  <c r="H85" i="10"/>
  <c r="G85" i="10" s="1"/>
  <c r="F85" i="10" s="1"/>
  <c r="E85" i="10" s="1"/>
  <c r="L85" i="10"/>
  <c r="M85" i="10" s="1"/>
  <c r="N85" i="10" s="1"/>
  <c r="O85" i="10" s="1"/>
  <c r="K85" i="10"/>
  <c r="I26" i="2"/>
  <c r="I70" i="10"/>
  <c r="H70" i="10" s="1"/>
  <c r="G70" i="10" s="1"/>
  <c r="F70" i="10" s="1"/>
  <c r="E70" i="10" s="1"/>
  <c r="L70" i="10"/>
  <c r="M70" i="10" s="1"/>
  <c r="N70" i="10" s="1"/>
  <c r="O70" i="10" s="1"/>
  <c r="D11" i="1"/>
  <c r="G10" i="11" l="1"/>
  <c r="O10" i="11"/>
  <c r="P10" i="11"/>
  <c r="D59" i="10"/>
  <c r="D52" i="10" l="1"/>
  <c r="D58" i="10"/>
  <c r="I21" i="2"/>
  <c r="I23" i="2"/>
  <c r="I36" i="2" l="1"/>
  <c r="I38" i="2"/>
  <c r="I31" i="2" l="1"/>
  <c r="I33" i="2"/>
  <c r="I28" i="2"/>
  <c r="H19" i="9" l="1"/>
  <c r="P11" i="11" l="1"/>
  <c r="P12" i="11"/>
  <c r="M11" i="11"/>
  <c r="N11" i="11"/>
  <c r="O11" i="11"/>
  <c r="M12" i="11"/>
  <c r="N12" i="11"/>
  <c r="O12" i="11"/>
  <c r="F10" i="9"/>
  <c r="F9" i="9"/>
  <c r="G11" i="11"/>
  <c r="F11" i="9" s="1"/>
  <c r="G12" i="11"/>
  <c r="F12" i="9" s="1"/>
  <c r="E7" i="11"/>
  <c r="P7" i="11" s="1"/>
  <c r="G17" i="11" l="1"/>
  <c r="G7" i="11"/>
  <c r="F7" i="9" s="1"/>
  <c r="G21" i="11"/>
  <c r="E16" i="11"/>
  <c r="D21" i="11"/>
  <c r="E21" i="11"/>
  <c r="F20" i="11"/>
  <c r="F18" i="11"/>
  <c r="G18" i="11"/>
  <c r="D16" i="11"/>
  <c r="G20" i="11"/>
  <c r="F21" i="11"/>
  <c r="E18" i="11"/>
  <c r="E20" i="11"/>
  <c r="F17" i="11"/>
  <c r="G19" i="11"/>
  <c r="F19" i="11"/>
  <c r="G16" i="11"/>
  <c r="E19" i="11"/>
  <c r="F16" i="11"/>
  <c r="H12" i="9"/>
  <c r="I12" i="9"/>
  <c r="G12" i="9"/>
  <c r="I7" i="9" l="1"/>
  <c r="H7" i="9"/>
  <c r="G7" i="9"/>
  <c r="D61" i="10"/>
  <c r="I58" i="10" s="1"/>
  <c r="G10" i="9"/>
  <c r="H10" i="9"/>
  <c r="I10" i="9"/>
  <c r="D13" i="10" l="1"/>
  <c r="C42" i="10" s="1"/>
  <c r="D19" i="10"/>
  <c r="D45" i="10"/>
  <c r="D12" i="10"/>
  <c r="G11" i="9"/>
  <c r="H11" i="9"/>
  <c r="I11" i="9"/>
  <c r="I63" i="10" l="1"/>
  <c r="N63" i="10"/>
  <c r="G9" i="9"/>
  <c r="H9" i="9"/>
  <c r="H28" i="9" s="1"/>
  <c r="I9" i="9"/>
  <c r="H29" i="9" l="1"/>
  <c r="J109" i="1"/>
  <c r="K109" i="1"/>
  <c r="L109" i="1"/>
  <c r="M109" i="1"/>
  <c r="I109" i="1"/>
  <c r="J104" i="1"/>
  <c r="K104" i="1"/>
  <c r="H128" i="1"/>
  <c r="E128" i="1"/>
  <c r="E137" i="1" s="1"/>
  <c r="F128" i="1"/>
  <c r="F137" i="1" s="1"/>
  <c r="G128" i="1"/>
  <c r="G137" i="1" s="1"/>
  <c r="D128" i="1"/>
  <c r="E121" i="1"/>
  <c r="F121" i="1"/>
  <c r="G121" i="1"/>
  <c r="H121" i="1"/>
  <c r="D121" i="1"/>
  <c r="E120" i="1"/>
  <c r="F120" i="1"/>
  <c r="G120" i="1"/>
  <c r="H120" i="1"/>
  <c r="D120" i="1"/>
  <c r="I12" i="2"/>
  <c r="J12" i="2"/>
  <c r="I13" i="2"/>
  <c r="J13" i="2"/>
  <c r="K13" i="2"/>
  <c r="I14" i="2"/>
  <c r="J25" i="3" s="1"/>
  <c r="J14" i="2"/>
  <c r="K25" i="3" s="1"/>
  <c r="K14" i="2"/>
  <c r="L25" i="3" s="1"/>
  <c r="J11" i="2"/>
  <c r="K11" i="2"/>
  <c r="D37" i="2"/>
  <c r="F26" i="3"/>
  <c r="G26" i="3"/>
  <c r="H26" i="3"/>
  <c r="I26" i="3"/>
  <c r="E26" i="3"/>
  <c r="F18" i="3"/>
  <c r="G18" i="3"/>
  <c r="H18" i="3"/>
  <c r="I18" i="3"/>
  <c r="E18" i="3"/>
  <c r="F22" i="3"/>
  <c r="G22" i="3"/>
  <c r="H22" i="3"/>
  <c r="I22" i="3"/>
  <c r="E22" i="3"/>
  <c r="F14" i="3"/>
  <c r="G14" i="3"/>
  <c r="H14" i="3"/>
  <c r="I14" i="3"/>
  <c r="I11" i="2"/>
  <c r="D130" i="1" l="1"/>
  <c r="G130" i="1"/>
  <c r="E130" i="1"/>
  <c r="H130" i="1"/>
  <c r="F130" i="1"/>
  <c r="D137" i="1"/>
  <c r="H137" i="1"/>
  <c r="E82" i="1" l="1"/>
  <c r="F82" i="1"/>
  <c r="G82" i="1"/>
  <c r="H82" i="1"/>
  <c r="D82" i="1"/>
  <c r="E80" i="1"/>
  <c r="F80" i="1"/>
  <c r="G80" i="1"/>
  <c r="H80" i="1"/>
  <c r="I80" i="1" s="1"/>
  <c r="D80" i="1"/>
  <c r="D78" i="1"/>
  <c r="E78" i="1"/>
  <c r="F78" i="1"/>
  <c r="G78" i="1"/>
  <c r="H78" i="1"/>
  <c r="D79" i="1"/>
  <c r="E79" i="1"/>
  <c r="F79" i="1"/>
  <c r="G79" i="1"/>
  <c r="H79" i="1"/>
  <c r="E77" i="1"/>
  <c r="F77" i="1"/>
  <c r="G77" i="1"/>
  <c r="H77" i="1"/>
  <c r="I77" i="1" s="1"/>
  <c r="D77" i="1"/>
  <c r="E73" i="1"/>
  <c r="F73" i="1"/>
  <c r="G73" i="1"/>
  <c r="H73" i="1"/>
  <c r="I73" i="1" s="1"/>
  <c r="D73" i="1"/>
  <c r="D72" i="1"/>
  <c r="E72" i="1"/>
  <c r="F72" i="1"/>
  <c r="G72" i="1"/>
  <c r="H72" i="1"/>
  <c r="E71" i="1"/>
  <c r="F71" i="1"/>
  <c r="G71" i="1"/>
  <c r="H71" i="1"/>
  <c r="I71" i="1" s="1"/>
  <c r="I99" i="1" s="1"/>
  <c r="D71" i="1"/>
  <c r="E70" i="1"/>
  <c r="F70" i="1"/>
  <c r="G70" i="1"/>
  <c r="H70" i="1"/>
  <c r="I70" i="1" s="1"/>
  <c r="J70" i="1" s="1"/>
  <c r="K70" i="1" s="1"/>
  <c r="L70" i="1" s="1"/>
  <c r="M70" i="1" s="1"/>
  <c r="D70" i="1"/>
  <c r="E68" i="1"/>
  <c r="E159" i="1" s="1"/>
  <c r="F68" i="1"/>
  <c r="F159" i="1" s="1"/>
  <c r="G68" i="1"/>
  <c r="G159" i="1" s="1"/>
  <c r="H68" i="1"/>
  <c r="H159" i="1" s="1"/>
  <c r="D68" i="1"/>
  <c r="D159" i="1" s="1"/>
  <c r="E66" i="1"/>
  <c r="E155" i="1" s="1"/>
  <c r="F66" i="1"/>
  <c r="F155" i="1" s="1"/>
  <c r="G66" i="1"/>
  <c r="G155" i="1" s="1"/>
  <c r="H66" i="1"/>
  <c r="H155" i="1" s="1"/>
  <c r="D66" i="1"/>
  <c r="D155" i="1" s="1"/>
  <c r="E67" i="1"/>
  <c r="F67" i="1"/>
  <c r="G67" i="1"/>
  <c r="H67" i="1"/>
  <c r="D67" i="1"/>
  <c r="D65" i="1"/>
  <c r="D153" i="1" s="1"/>
  <c r="E65" i="1"/>
  <c r="E153" i="1" s="1"/>
  <c r="F65" i="1"/>
  <c r="F153" i="1" s="1"/>
  <c r="G65" i="1"/>
  <c r="G153" i="1" s="1"/>
  <c r="H65" i="1"/>
  <c r="H153" i="1" s="1"/>
  <c r="E64" i="1"/>
  <c r="F64" i="1"/>
  <c r="G64" i="1"/>
  <c r="H64" i="1"/>
  <c r="D64" i="1"/>
  <c r="E60" i="1"/>
  <c r="F60" i="1"/>
  <c r="G60" i="1"/>
  <c r="H60" i="1"/>
  <c r="I60" i="1" s="1"/>
  <c r="J60" i="1" s="1"/>
  <c r="K60" i="1" s="1"/>
  <c r="L60" i="1" s="1"/>
  <c r="M60" i="1" s="1"/>
  <c r="M100" i="1" s="1"/>
  <c r="D60" i="1"/>
  <c r="E59" i="1"/>
  <c r="F59" i="1"/>
  <c r="G59" i="1"/>
  <c r="H59" i="1"/>
  <c r="D59" i="1"/>
  <c r="E58" i="1"/>
  <c r="E139" i="1" s="1"/>
  <c r="F58" i="1"/>
  <c r="F139" i="1" s="1"/>
  <c r="G58" i="1"/>
  <c r="G139" i="1" s="1"/>
  <c r="H58" i="1"/>
  <c r="H139" i="1" s="1"/>
  <c r="D58" i="1"/>
  <c r="D139" i="1" s="1"/>
  <c r="E57" i="1"/>
  <c r="F57" i="1"/>
  <c r="G57" i="1"/>
  <c r="H57" i="1"/>
  <c r="D57" i="1"/>
  <c r="E56" i="1"/>
  <c r="E122" i="1" s="1"/>
  <c r="F56" i="1"/>
  <c r="F122" i="1" s="1"/>
  <c r="G56" i="1"/>
  <c r="G122" i="1" s="1"/>
  <c r="H56" i="1"/>
  <c r="H122" i="1" s="1"/>
  <c r="I119" i="1" s="1"/>
  <c r="D56" i="1"/>
  <c r="D122" i="1" s="1"/>
  <c r="E54" i="1"/>
  <c r="E149" i="1" s="1"/>
  <c r="F54" i="1"/>
  <c r="F149" i="1" s="1"/>
  <c r="G54" i="1"/>
  <c r="G149" i="1" s="1"/>
  <c r="H54" i="1"/>
  <c r="H149" i="1" s="1"/>
  <c r="D54" i="1"/>
  <c r="D149" i="1" s="1"/>
  <c r="E53" i="1"/>
  <c r="E147" i="1" s="1"/>
  <c r="F53" i="1"/>
  <c r="F147" i="1" s="1"/>
  <c r="G53" i="1"/>
  <c r="G147" i="1" s="1"/>
  <c r="H53" i="1"/>
  <c r="H147" i="1" s="1"/>
  <c r="H148" i="1" s="1"/>
  <c r="D53" i="1"/>
  <c r="D147" i="1" s="1"/>
  <c r="E52" i="1"/>
  <c r="E145" i="1" s="1"/>
  <c r="F52" i="1"/>
  <c r="F145" i="1" s="1"/>
  <c r="G52" i="1"/>
  <c r="G145" i="1" s="1"/>
  <c r="H52" i="1"/>
  <c r="H145" i="1" s="1"/>
  <c r="D52" i="1"/>
  <c r="D145" i="1" s="1"/>
  <c r="E51" i="1"/>
  <c r="F51" i="1"/>
  <c r="G51" i="1"/>
  <c r="H51" i="1"/>
  <c r="D51" i="1"/>
  <c r="E41" i="1"/>
  <c r="F41" i="1"/>
  <c r="G41" i="1"/>
  <c r="H41" i="1"/>
  <c r="D41" i="1"/>
  <c r="E38" i="1"/>
  <c r="F38" i="1"/>
  <c r="G38" i="1"/>
  <c r="H38" i="1"/>
  <c r="D38" i="1"/>
  <c r="E36" i="1"/>
  <c r="F36" i="1"/>
  <c r="G36" i="1"/>
  <c r="H36" i="1"/>
  <c r="D36" i="1"/>
  <c r="E34" i="1"/>
  <c r="F34" i="1"/>
  <c r="G34" i="1"/>
  <c r="H34" i="1"/>
  <c r="D34" i="1"/>
  <c r="I34" i="1" s="1"/>
  <c r="E33" i="1"/>
  <c r="F33" i="1"/>
  <c r="G33" i="1"/>
  <c r="H33" i="1"/>
  <c r="D33" i="1"/>
  <c r="I33" i="1" s="1"/>
  <c r="E30" i="1"/>
  <c r="F30" i="1"/>
  <c r="G30" i="1"/>
  <c r="H30" i="1"/>
  <c r="E31" i="1"/>
  <c r="F31" i="1"/>
  <c r="G31" i="1"/>
  <c r="H31" i="1"/>
  <c r="D31" i="1"/>
  <c r="D30" i="1"/>
  <c r="E28" i="1"/>
  <c r="F28" i="1"/>
  <c r="G28" i="1"/>
  <c r="H28" i="1"/>
  <c r="D28" i="1"/>
  <c r="E27" i="1"/>
  <c r="F27" i="1"/>
  <c r="G27" i="1"/>
  <c r="H27" i="1"/>
  <c r="D27" i="1"/>
  <c r="E150" i="1" l="1"/>
  <c r="I57" i="1"/>
  <c r="J57" i="1" s="1"/>
  <c r="K57" i="1" s="1"/>
  <c r="L57" i="1" s="1"/>
  <c r="M57" i="1" s="1"/>
  <c r="G148" i="1"/>
  <c r="G154" i="1"/>
  <c r="E158" i="1"/>
  <c r="E157" i="1"/>
  <c r="G160" i="1"/>
  <c r="F154" i="1"/>
  <c r="D156" i="1"/>
  <c r="F160" i="1"/>
  <c r="D151" i="1"/>
  <c r="D146" i="1"/>
  <c r="F148" i="1"/>
  <c r="E161" i="1"/>
  <c r="E154" i="1"/>
  <c r="H156" i="1"/>
  <c r="E160" i="1"/>
  <c r="H151" i="1"/>
  <c r="H146" i="1"/>
  <c r="E148" i="1"/>
  <c r="D154" i="1"/>
  <c r="G156" i="1"/>
  <c r="D157" i="1"/>
  <c r="D161" i="1" s="1"/>
  <c r="D158" i="1"/>
  <c r="F156" i="1"/>
  <c r="D150" i="1"/>
  <c r="F146" i="1"/>
  <c r="F151" i="1"/>
  <c r="H150" i="1"/>
  <c r="H158" i="1"/>
  <c r="H157" i="1"/>
  <c r="H161" i="1" s="1"/>
  <c r="E156" i="1"/>
  <c r="E146" i="1"/>
  <c r="E151" i="1"/>
  <c r="G150" i="1"/>
  <c r="G158" i="1"/>
  <c r="G157" i="1"/>
  <c r="G161" i="1" s="1"/>
  <c r="D160" i="1"/>
  <c r="G146" i="1"/>
  <c r="G151" i="1"/>
  <c r="D148" i="1"/>
  <c r="F150" i="1"/>
  <c r="H154" i="1"/>
  <c r="F158" i="1"/>
  <c r="F157" i="1"/>
  <c r="F161" i="1" s="1"/>
  <c r="H160" i="1"/>
  <c r="J80" i="1"/>
  <c r="K80" i="1" s="1"/>
  <c r="L80" i="1" s="1"/>
  <c r="M80" i="1" s="1"/>
  <c r="J34" i="1"/>
  <c r="K34" i="1" s="1"/>
  <c r="L34" i="1" s="1"/>
  <c r="M34" i="1" s="1"/>
  <c r="E129" i="1"/>
  <c r="D129" i="1"/>
  <c r="E38" i="10"/>
  <c r="H129" i="1"/>
  <c r="G129" i="1"/>
  <c r="F129" i="1"/>
  <c r="J73" i="1"/>
  <c r="K73" i="1" s="1"/>
  <c r="L73" i="1" s="1"/>
  <c r="M73" i="1" s="1"/>
  <c r="M101" i="1" s="1"/>
  <c r="I101" i="1"/>
  <c r="L100" i="1"/>
  <c r="K100" i="1"/>
  <c r="J100" i="1"/>
  <c r="J77" i="1"/>
  <c r="I100" i="1"/>
  <c r="E81" i="1"/>
  <c r="E83" i="1" s="1"/>
  <c r="H81" i="1"/>
  <c r="H83" i="1" s="1"/>
  <c r="H69" i="1"/>
  <c r="H74" i="1" s="1"/>
  <c r="H55" i="1"/>
  <c r="H61" i="1" s="1"/>
  <c r="E69" i="1"/>
  <c r="G69" i="1"/>
  <c r="G74" i="1" s="1"/>
  <c r="E29" i="1"/>
  <c r="E32" i="1" s="1"/>
  <c r="F55" i="1"/>
  <c r="F61" i="1" s="1"/>
  <c r="D55" i="1"/>
  <c r="D61" i="1" s="1"/>
  <c r="F69" i="1"/>
  <c r="G55" i="1"/>
  <c r="G61" i="1" s="1"/>
  <c r="D81" i="1"/>
  <c r="D83" i="1" s="1"/>
  <c r="E55" i="1"/>
  <c r="E61" i="1" s="1"/>
  <c r="G81" i="1"/>
  <c r="G83" i="1" s="1"/>
  <c r="D69" i="1"/>
  <c r="F81" i="1"/>
  <c r="F83" i="1" s="1"/>
  <c r="I64" i="1"/>
  <c r="I108" i="1" s="1"/>
  <c r="F29" i="1"/>
  <c r="F32" i="1" s="1"/>
  <c r="J33" i="1"/>
  <c r="K33" i="1" s="1"/>
  <c r="L33" i="1" s="1"/>
  <c r="M33" i="1" s="1"/>
  <c r="D29" i="1"/>
  <c r="D32" i="1" s="1"/>
  <c r="H29" i="1"/>
  <c r="H32" i="1" s="1"/>
  <c r="G29" i="1"/>
  <c r="G32" i="1" s="1"/>
  <c r="G163" i="1" l="1"/>
  <c r="F163" i="1"/>
  <c r="E163" i="1"/>
  <c r="D163" i="1"/>
  <c r="H163" i="1"/>
  <c r="H165" i="1" s="1"/>
  <c r="J129" i="1"/>
  <c r="K129" i="1" s="1"/>
  <c r="L129" i="1" s="1"/>
  <c r="M129" i="1" s="1"/>
  <c r="G35" i="1"/>
  <c r="H22" i="10"/>
  <c r="H38" i="10"/>
  <c r="I22" i="10"/>
  <c r="I38" i="10"/>
  <c r="H35" i="1"/>
  <c r="E28" i="10"/>
  <c r="F35" i="1"/>
  <c r="J101" i="1"/>
  <c r="G22" i="10"/>
  <c r="G38" i="10"/>
  <c r="F22" i="10"/>
  <c r="F38" i="10"/>
  <c r="F28" i="10"/>
  <c r="J71" i="1"/>
  <c r="L101" i="1"/>
  <c r="K101" i="1"/>
  <c r="E74" i="1"/>
  <c r="E85" i="1" s="1"/>
  <c r="E87" i="1" s="1"/>
  <c r="F74" i="1"/>
  <c r="F85" i="1" s="1"/>
  <c r="F87" i="1" s="1"/>
  <c r="D74" i="1"/>
  <c r="D85" i="1" s="1"/>
  <c r="D87" i="1" s="1"/>
  <c r="K77" i="1"/>
  <c r="J64" i="1"/>
  <c r="G85" i="1"/>
  <c r="G87" i="1" s="1"/>
  <c r="E35" i="1"/>
  <c r="E42" i="1"/>
  <c r="H85" i="1"/>
  <c r="H87" i="1" s="1"/>
  <c r="F42" i="1"/>
  <c r="D35" i="1"/>
  <c r="D42" i="1"/>
  <c r="G42" i="1"/>
  <c r="H42" i="1"/>
  <c r="E165" i="1" l="1"/>
  <c r="F165" i="1"/>
  <c r="G165" i="1"/>
  <c r="H37" i="1"/>
  <c r="H39" i="1" s="1"/>
  <c r="H57" i="2"/>
  <c r="F37" i="1"/>
  <c r="F39" i="1" s="1"/>
  <c r="F57" i="2"/>
  <c r="G33" i="10" s="1"/>
  <c r="E37" i="1"/>
  <c r="E39" i="1" s="1"/>
  <c r="E57" i="2"/>
  <c r="G37" i="1"/>
  <c r="G39" i="1" s="1"/>
  <c r="G57" i="2"/>
  <c r="I28" i="10"/>
  <c r="F44" i="1"/>
  <c r="G25" i="10"/>
  <c r="H44" i="1"/>
  <c r="I25" i="10"/>
  <c r="D44" i="1"/>
  <c r="E25" i="10"/>
  <c r="E44" i="1"/>
  <c r="F25" i="10"/>
  <c r="G28" i="10"/>
  <c r="H28" i="10"/>
  <c r="G44" i="1"/>
  <c r="H25" i="10"/>
  <c r="K71" i="1"/>
  <c r="J99" i="1"/>
  <c r="K64" i="1"/>
  <c r="J108" i="1"/>
  <c r="L77" i="1"/>
  <c r="D37" i="1"/>
  <c r="D39" i="1" s="1"/>
  <c r="L71" i="1" l="1"/>
  <c r="K99" i="1"/>
  <c r="M77" i="1"/>
  <c r="L64" i="1"/>
  <c r="K108" i="1"/>
  <c r="M71" i="1" l="1"/>
  <c r="M99" i="1" s="1"/>
  <c r="L99" i="1"/>
  <c r="M64" i="1"/>
  <c r="M108" i="1" s="1"/>
  <c r="L108" i="1"/>
  <c r="D52" i="2"/>
  <c r="D47" i="2"/>
  <c r="D22" i="2"/>
  <c r="E8" i="3"/>
  <c r="E24" i="3" s="1"/>
  <c r="D42" i="2"/>
  <c r="F52" i="2"/>
  <c r="G52" i="2"/>
  <c r="H52" i="2"/>
  <c r="E52" i="2"/>
  <c r="F47" i="2"/>
  <c r="G47" i="2"/>
  <c r="H47" i="2"/>
  <c r="E47" i="2"/>
  <c r="D27" i="2"/>
  <c r="G8" i="3"/>
  <c r="G24" i="3" s="1"/>
  <c r="H8" i="3"/>
  <c r="H24" i="3" s="1"/>
  <c r="I8" i="3"/>
  <c r="I24" i="3" s="1"/>
  <c r="F8" i="3"/>
  <c r="F24" i="3" s="1"/>
  <c r="I7" i="3"/>
  <c r="J7" i="3" s="1"/>
  <c r="K7" i="3" s="1"/>
  <c r="L7" i="3" s="1"/>
  <c r="M7" i="3" s="1"/>
  <c r="N7" i="3" s="1"/>
  <c r="J6" i="3"/>
  <c r="K6" i="3" s="1"/>
  <c r="L6" i="3" s="1"/>
  <c r="M6" i="3" s="1"/>
  <c r="N6" i="3" s="1"/>
  <c r="H6" i="3"/>
  <c r="G6" i="3" s="1"/>
  <c r="F6" i="3" s="1"/>
  <c r="E6" i="3" s="1"/>
  <c r="I52" i="2" l="1"/>
  <c r="I47" i="2"/>
  <c r="J47" i="2" s="1"/>
  <c r="J52" i="2"/>
  <c r="K52" i="2" s="1"/>
  <c r="L52" i="2" s="1"/>
  <c r="M52" i="2" s="1"/>
  <c r="H25" i="3"/>
  <c r="G37" i="2" s="1"/>
  <c r="I25" i="3"/>
  <c r="H37" i="2" s="1"/>
  <c r="F25" i="3"/>
  <c r="E37" i="2" s="1"/>
  <c r="G25" i="3"/>
  <c r="F37" i="2" s="1"/>
  <c r="F16" i="3"/>
  <c r="F20" i="3"/>
  <c r="F12" i="3"/>
  <c r="H20" i="3"/>
  <c r="H16" i="3"/>
  <c r="H12" i="3"/>
  <c r="E12" i="3"/>
  <c r="E16" i="3"/>
  <c r="E20" i="3"/>
  <c r="I16" i="3"/>
  <c r="I20" i="3"/>
  <c r="I12" i="3"/>
  <c r="G20" i="3"/>
  <c r="G12" i="3"/>
  <c r="G16" i="3"/>
  <c r="D32" i="2"/>
  <c r="H9" i="3"/>
  <c r="G9" i="3"/>
  <c r="I9" i="3"/>
  <c r="H7" i="3"/>
  <c r="G7" i="3" s="1"/>
  <c r="F7" i="3" s="1"/>
  <c r="E7" i="3" s="1"/>
  <c r="L37" i="2" l="1"/>
  <c r="M37" i="2" s="1"/>
  <c r="M36" i="2" s="1"/>
  <c r="J36" i="2" s="1"/>
  <c r="K36" i="2" s="1"/>
  <c r="L36" i="2" s="1"/>
  <c r="M38" i="2"/>
  <c r="J38" i="2" s="1"/>
  <c r="K38" i="2" s="1"/>
  <c r="L38" i="2" s="1"/>
  <c r="F13" i="3"/>
  <c r="J53" i="2"/>
  <c r="K47" i="2"/>
  <c r="J48" i="2"/>
  <c r="I51" i="2"/>
  <c r="I53" i="2"/>
  <c r="I17" i="2" s="1"/>
  <c r="I48" i="2"/>
  <c r="I16" i="2" s="1"/>
  <c r="I19" i="1" s="1"/>
  <c r="I46" i="2"/>
  <c r="H21" i="3"/>
  <c r="G32" i="2" s="1"/>
  <c r="I21" i="3"/>
  <c r="H32" i="2" s="1"/>
  <c r="G21" i="3"/>
  <c r="F32" i="2" s="1"/>
  <c r="F21" i="3"/>
  <c r="E32" i="2" s="1"/>
  <c r="G13" i="3"/>
  <c r="F22" i="2" s="1"/>
  <c r="H13" i="3"/>
  <c r="G22" i="2" s="1"/>
  <c r="H17" i="3"/>
  <c r="G27" i="2" s="1"/>
  <c r="I13" i="3"/>
  <c r="H22" i="2" s="1"/>
  <c r="G17" i="3"/>
  <c r="F27" i="2" s="1"/>
  <c r="E22" i="2"/>
  <c r="I17" i="3"/>
  <c r="H27" i="2" s="1"/>
  <c r="F17" i="3"/>
  <c r="E27" i="2" s="1"/>
  <c r="D57" i="2"/>
  <c r="I57" i="2" s="1"/>
  <c r="J57" i="2" s="1"/>
  <c r="K57" i="2" s="1"/>
  <c r="L57" i="2" s="1"/>
  <c r="M57" i="2" s="1"/>
  <c r="L27" i="2" l="1"/>
  <c r="M27" i="2" s="1"/>
  <c r="M28" i="2" s="1"/>
  <c r="M26" i="2"/>
  <c r="J26" i="2" s="1"/>
  <c r="K26" i="2" s="1"/>
  <c r="L32" i="2"/>
  <c r="M32" i="2" s="1"/>
  <c r="L22" i="2"/>
  <c r="M22" i="2" s="1"/>
  <c r="M23" i="2" s="1"/>
  <c r="L47" i="2"/>
  <c r="K48" i="2"/>
  <c r="K53" i="2"/>
  <c r="E33" i="10"/>
  <c r="E40" i="10" s="1"/>
  <c r="J51" i="2"/>
  <c r="J17" i="2"/>
  <c r="J46" i="2"/>
  <c r="J16" i="2"/>
  <c r="J19" i="1" s="1"/>
  <c r="L14" i="2"/>
  <c r="M25" i="3" s="1"/>
  <c r="I20" i="1"/>
  <c r="J24" i="3"/>
  <c r="M21" i="2" l="1"/>
  <c r="M33" i="2"/>
  <c r="J31" i="2"/>
  <c r="K31" i="2" s="1"/>
  <c r="J28" i="2"/>
  <c r="L28" i="2"/>
  <c r="J23" i="2"/>
  <c r="L23" i="2"/>
  <c r="J21" i="2"/>
  <c r="K21" i="2" s="1"/>
  <c r="L21" i="2" s="1"/>
  <c r="M14" i="2"/>
  <c r="N25" i="3" s="1"/>
  <c r="M53" i="2"/>
  <c r="L53" i="2"/>
  <c r="M47" i="2"/>
  <c r="M48" i="2" s="1"/>
  <c r="L48" i="2"/>
  <c r="L13" i="2"/>
  <c r="K46" i="2"/>
  <c r="K16" i="2"/>
  <c r="K19" i="1" s="1"/>
  <c r="K51" i="2"/>
  <c r="K17" i="2" s="1"/>
  <c r="J20" i="1"/>
  <c r="K24" i="3"/>
  <c r="J17" i="3"/>
  <c r="J16" i="3" s="1"/>
  <c r="J33" i="2" l="1"/>
  <c r="L33" i="2"/>
  <c r="L46" i="2"/>
  <c r="L16" i="2"/>
  <c r="L19" i="1" s="1"/>
  <c r="L51" i="2"/>
  <c r="L17" i="2"/>
  <c r="K20" i="1"/>
  <c r="L24" i="3"/>
  <c r="J21" i="3"/>
  <c r="J20" i="3" s="1"/>
  <c r="M46" i="2" l="1"/>
  <c r="M16" i="2" s="1"/>
  <c r="M19" i="1" s="1"/>
  <c r="M51" i="2"/>
  <c r="M17" i="2"/>
  <c r="L20" i="1"/>
  <c r="M24" i="3"/>
  <c r="M13" i="2" l="1"/>
  <c r="N21" i="3" s="1"/>
  <c r="M20" i="1"/>
  <c r="N24" i="3"/>
  <c r="H9" i="2"/>
  <c r="G9" i="2" s="1"/>
  <c r="F9" i="2" s="1"/>
  <c r="E9" i="2" s="1"/>
  <c r="D9" i="2" s="1"/>
  <c r="I8" i="2"/>
  <c r="J8" i="2" s="1"/>
  <c r="K8" i="2" s="1"/>
  <c r="L8" i="2" s="1"/>
  <c r="M8" i="2" s="1"/>
  <c r="G8" i="2"/>
  <c r="F8" i="2" s="1"/>
  <c r="E8" i="2" s="1"/>
  <c r="D8" i="2" s="1"/>
  <c r="I9" i="2" l="1"/>
  <c r="J9" i="2" s="1"/>
  <c r="K9" i="2" s="1"/>
  <c r="L9" i="2" s="1"/>
  <c r="M9" i="2" s="1"/>
  <c r="K21" i="3" l="1"/>
  <c r="K20" i="3" s="1"/>
  <c r="K17" i="3"/>
  <c r="K16" i="3" s="1"/>
  <c r="M21" i="3" l="1"/>
  <c r="L21" i="3"/>
  <c r="L20" i="3" s="1"/>
  <c r="M20" i="3" l="1"/>
  <c r="N20" i="3" s="1"/>
  <c r="H48" i="1"/>
  <c r="C49" i="1"/>
  <c r="C92" i="1" s="1"/>
  <c r="C48" i="1"/>
  <c r="C91" i="1" s="1"/>
  <c r="H26" i="1"/>
  <c r="H144" i="1" s="1"/>
  <c r="I25" i="1"/>
  <c r="I143" i="1" s="1"/>
  <c r="G25" i="1"/>
  <c r="H143" i="1" l="1"/>
  <c r="F25" i="1"/>
  <c r="F48" i="1" s="1"/>
  <c r="I134" i="1"/>
  <c r="I126" i="1"/>
  <c r="H135" i="1"/>
  <c r="H127" i="1"/>
  <c r="H134" i="1"/>
  <c r="H126" i="1"/>
  <c r="I15" i="1"/>
  <c r="J15" i="1" s="1"/>
  <c r="K15" i="1" s="1"/>
  <c r="L15" i="1" s="1"/>
  <c r="M15" i="1" s="1"/>
  <c r="I117" i="1"/>
  <c r="H118" i="1"/>
  <c r="H117" i="1"/>
  <c r="J25" i="1"/>
  <c r="J143" i="1" s="1"/>
  <c r="H42" i="2"/>
  <c r="F42" i="2"/>
  <c r="G42" i="2"/>
  <c r="E42" i="2"/>
  <c r="I26" i="1"/>
  <c r="I144" i="1" s="1"/>
  <c r="H49" i="1"/>
  <c r="I48" i="1"/>
  <c r="I91" i="1" s="1"/>
  <c r="G48" i="1"/>
  <c r="G26" i="1"/>
  <c r="G144" i="1" s="1"/>
  <c r="I42" i="2" l="1"/>
  <c r="G143" i="1"/>
  <c r="I41" i="2"/>
  <c r="I43" i="2"/>
  <c r="F143" i="1"/>
  <c r="J42" i="2"/>
  <c r="E25" i="1"/>
  <c r="F134" i="1"/>
  <c r="F126" i="1"/>
  <c r="G134" i="1"/>
  <c r="G126" i="1"/>
  <c r="J134" i="1"/>
  <c r="J126" i="1"/>
  <c r="I135" i="1"/>
  <c r="I127" i="1"/>
  <c r="G135" i="1"/>
  <c r="G127" i="1"/>
  <c r="I16" i="1"/>
  <c r="J16" i="1" s="1"/>
  <c r="K16" i="1" s="1"/>
  <c r="L16" i="1" s="1"/>
  <c r="M16" i="1" s="1"/>
  <c r="I118" i="1"/>
  <c r="G117" i="1"/>
  <c r="G118" i="1"/>
  <c r="J117" i="1"/>
  <c r="J48" i="1"/>
  <c r="J91" i="1" s="1"/>
  <c r="F117" i="1"/>
  <c r="K25" i="1"/>
  <c r="K143" i="1" s="1"/>
  <c r="G40" i="10"/>
  <c r="H33" i="10"/>
  <c r="H40" i="10" s="1"/>
  <c r="I33" i="10"/>
  <c r="I40" i="10" s="1"/>
  <c r="J26" i="1"/>
  <c r="J144" i="1" s="1"/>
  <c r="I49" i="1"/>
  <c r="I92" i="1" s="1"/>
  <c r="F26" i="1"/>
  <c r="F144" i="1" s="1"/>
  <c r="G49" i="1"/>
  <c r="K42" i="2" l="1"/>
  <c r="J41" i="2"/>
  <c r="J43" i="2"/>
  <c r="F33" i="10"/>
  <c r="F40" i="10" s="1"/>
  <c r="D25" i="1"/>
  <c r="E48" i="1"/>
  <c r="E143" i="1" s="1"/>
  <c r="K44" i="10"/>
  <c r="F135" i="1"/>
  <c r="F127" i="1"/>
  <c r="J135" i="1"/>
  <c r="J127" i="1"/>
  <c r="K134" i="1"/>
  <c r="K126" i="1"/>
  <c r="J118" i="1"/>
  <c r="F118" i="1"/>
  <c r="K117" i="1"/>
  <c r="L25" i="1"/>
  <c r="L143" i="1" s="1"/>
  <c r="K48" i="1"/>
  <c r="K91" i="1" s="1"/>
  <c r="K26" i="1"/>
  <c r="K144" i="1" s="1"/>
  <c r="J49" i="1"/>
  <c r="J92" i="1" s="1"/>
  <c r="E26" i="1"/>
  <c r="E144" i="1" s="1"/>
  <c r="F49" i="1"/>
  <c r="L42" i="2" l="1"/>
  <c r="K41" i="2"/>
  <c r="K43" i="2"/>
  <c r="I58" i="2"/>
  <c r="I56" i="2"/>
  <c r="L44" i="10"/>
  <c r="E126" i="1"/>
  <c r="E117" i="1"/>
  <c r="E134" i="1"/>
  <c r="D48" i="1"/>
  <c r="D143" i="1" s="1"/>
  <c r="L134" i="1"/>
  <c r="L126" i="1"/>
  <c r="K135" i="1"/>
  <c r="K127" i="1"/>
  <c r="E135" i="1"/>
  <c r="E127" i="1"/>
  <c r="E118" i="1"/>
  <c r="K118" i="1"/>
  <c r="L117" i="1"/>
  <c r="M25" i="1"/>
  <c r="M143" i="1" s="1"/>
  <c r="L48" i="1"/>
  <c r="D26" i="1"/>
  <c r="D144" i="1" s="1"/>
  <c r="E49" i="1"/>
  <c r="I18" i="2"/>
  <c r="L26" i="1"/>
  <c r="L144" i="1" s="1"/>
  <c r="K49" i="1"/>
  <c r="K92" i="1" s="1"/>
  <c r="M42" i="2" l="1"/>
  <c r="L41" i="2"/>
  <c r="L43" i="2"/>
  <c r="J58" i="2"/>
  <c r="J56" i="2"/>
  <c r="D134" i="1"/>
  <c r="D117" i="1"/>
  <c r="D126" i="1"/>
  <c r="M44" i="10"/>
  <c r="I21" i="1"/>
  <c r="D135" i="1"/>
  <c r="D127" i="1"/>
  <c r="M134" i="1"/>
  <c r="M126" i="1"/>
  <c r="L135" i="1"/>
  <c r="L127" i="1"/>
  <c r="M117" i="1"/>
  <c r="L118" i="1"/>
  <c r="D118" i="1"/>
  <c r="M48" i="1"/>
  <c r="M91" i="1" s="1"/>
  <c r="L91" i="1"/>
  <c r="D49" i="1"/>
  <c r="J18" i="2"/>
  <c r="M26" i="1"/>
  <c r="M144" i="1" s="1"/>
  <c r="L49" i="1"/>
  <c r="L92" i="1" s="1"/>
  <c r="H24" i="9" l="1"/>
  <c r="H25" i="9" s="1"/>
  <c r="M41" i="2"/>
  <c r="M43" i="2"/>
  <c r="K58" i="2"/>
  <c r="K56" i="2"/>
  <c r="K12" i="9"/>
  <c r="K10" i="9"/>
  <c r="N44" i="10"/>
  <c r="K11" i="9"/>
  <c r="K9" i="9"/>
  <c r="J21" i="1"/>
  <c r="M135" i="1"/>
  <c r="M127" i="1"/>
  <c r="M118" i="1"/>
  <c r="M49" i="1"/>
  <c r="M92" i="1" s="1"/>
  <c r="K18" i="2"/>
  <c r="K7" i="9" l="1"/>
  <c r="L7" i="9" s="1"/>
  <c r="H18" i="9" s="1"/>
  <c r="H20" i="9" s="1"/>
  <c r="D31" i="9" s="1"/>
  <c r="D11" i="10" s="1"/>
  <c r="L58" i="2"/>
  <c r="L56" i="2"/>
  <c r="K21" i="1"/>
  <c r="L18" i="2"/>
  <c r="M56" i="2" l="1"/>
  <c r="M58" i="2"/>
  <c r="L21" i="1"/>
  <c r="I15" i="2"/>
  <c r="M18" i="2" l="1"/>
  <c r="M21" i="1" s="1"/>
  <c r="I18" i="1"/>
  <c r="J15" i="2"/>
  <c r="N49" i="10" l="1"/>
  <c r="I49" i="10"/>
  <c r="J18" i="1"/>
  <c r="K15" i="2" l="1"/>
  <c r="K18" i="1" s="1"/>
  <c r="L15" i="2"/>
  <c r="L18" i="1" s="1"/>
  <c r="M15" i="2" l="1"/>
  <c r="M18" i="1" s="1"/>
  <c r="J13" i="3" l="1"/>
  <c r="J12" i="3" l="1"/>
  <c r="J8" i="3" s="1"/>
  <c r="J9" i="3" l="1"/>
  <c r="I17" i="1" s="1"/>
  <c r="I72" i="1" s="1"/>
  <c r="J26" i="3"/>
  <c r="J14" i="3"/>
  <c r="J22" i="3"/>
  <c r="J18" i="3"/>
  <c r="I68" i="1" l="1"/>
  <c r="I159" i="1" s="1"/>
  <c r="I59" i="1"/>
  <c r="I98" i="1" s="1"/>
  <c r="I54" i="1"/>
  <c r="I149" i="1" s="1"/>
  <c r="I27" i="1"/>
  <c r="I145" i="1" s="1"/>
  <c r="I52" i="1" s="1"/>
  <c r="I58" i="1"/>
  <c r="I31" i="1" l="1"/>
  <c r="I43" i="1"/>
  <c r="I78" i="1" s="1"/>
  <c r="I29" i="1"/>
  <c r="I28" i="1" s="1"/>
  <c r="I153" i="1" s="1"/>
  <c r="I65" i="1" s="1"/>
  <c r="I30" i="1"/>
  <c r="I66" i="1" s="1"/>
  <c r="I160" i="1"/>
  <c r="I150" i="1"/>
  <c r="J21" i="10"/>
  <c r="J38" i="10" s="1"/>
  <c r="I139" i="1"/>
  <c r="J136" i="1" s="1"/>
  <c r="I128" i="1"/>
  <c r="I137" i="1" s="1"/>
  <c r="I155" i="1" l="1"/>
  <c r="I156" i="1" s="1"/>
  <c r="I32" i="1"/>
  <c r="J27" i="10" s="1"/>
  <c r="D21" i="10"/>
  <c r="J22" i="10"/>
  <c r="I130" i="1"/>
  <c r="J35" i="10" s="1"/>
  <c r="I122" i="1"/>
  <c r="I56" i="1" s="1"/>
  <c r="I138" i="1"/>
  <c r="I105" i="1" s="1"/>
  <c r="I106" i="1" s="1"/>
  <c r="I95" i="1"/>
  <c r="I94" i="1" l="1"/>
  <c r="J30" i="10"/>
  <c r="J33" i="10" s="1"/>
  <c r="I41" i="1"/>
  <c r="I42" i="1" s="1"/>
  <c r="J28" i="10"/>
  <c r="D27" i="10"/>
  <c r="J119" i="1"/>
  <c r="I35" i="1"/>
  <c r="I36" i="1" l="1"/>
  <c r="I67" i="1" s="1"/>
  <c r="I97" i="1" s="1"/>
  <c r="I44" i="1"/>
  <c r="J24" i="10"/>
  <c r="I37" i="1" l="1"/>
  <c r="I158" i="1"/>
  <c r="I157" i="1"/>
  <c r="I161" i="1" s="1"/>
  <c r="J25" i="10"/>
  <c r="D24" i="10"/>
  <c r="I69" i="1"/>
  <c r="I74" i="1" s="1"/>
  <c r="I38" i="1" l="1"/>
  <c r="I39" i="1" s="1"/>
  <c r="I93" i="1" s="1"/>
  <c r="I79" i="1" l="1"/>
  <c r="I81" i="1" s="1"/>
  <c r="I82" i="1" s="1"/>
  <c r="L13" i="3" l="1"/>
  <c r="K13" i="3"/>
  <c r="I110" i="1" l="1"/>
  <c r="I111" i="1" s="1"/>
  <c r="I83" i="1"/>
  <c r="I85" i="1" s="1"/>
  <c r="K12" i="3"/>
  <c r="L12" i="3" s="1"/>
  <c r="L11" i="2"/>
  <c r="M13" i="3" s="1"/>
  <c r="K8" i="3" l="1"/>
  <c r="K26" i="3" s="1"/>
  <c r="M11" i="2"/>
  <c r="N13" i="3" s="1"/>
  <c r="M12" i="3"/>
  <c r="K22" i="3" l="1"/>
  <c r="K14" i="3"/>
  <c r="K18" i="3"/>
  <c r="K9" i="3"/>
  <c r="J17" i="1" s="1"/>
  <c r="J58" i="1" s="1"/>
  <c r="N12" i="3"/>
  <c r="J59" i="1" l="1"/>
  <c r="J72" i="1"/>
  <c r="J54" i="1"/>
  <c r="J149" i="1" s="1"/>
  <c r="J68" i="1"/>
  <c r="J159" i="1" s="1"/>
  <c r="J27" i="1"/>
  <c r="J145" i="1" s="1"/>
  <c r="J52" i="1" s="1"/>
  <c r="J160" i="1" l="1"/>
  <c r="J150" i="1"/>
  <c r="K21" i="10"/>
  <c r="K38" i="10" s="1"/>
  <c r="J122" i="1"/>
  <c r="J56" i="1" s="1"/>
  <c r="J139" i="1"/>
  <c r="K136" i="1" s="1"/>
  <c r="J128" i="1"/>
  <c r="J137" i="1" s="1"/>
  <c r="J31" i="1"/>
  <c r="J43" i="1"/>
  <c r="J30" i="1"/>
  <c r="J66" i="1" s="1"/>
  <c r="J155" i="1" s="1"/>
  <c r="J156" i="1" s="1"/>
  <c r="J98" i="1"/>
  <c r="J29" i="1"/>
  <c r="J28" i="1" s="1"/>
  <c r="J147" i="1" l="1"/>
  <c r="J53" i="1" s="1"/>
  <c r="J153" i="1"/>
  <c r="J65" i="1" s="1"/>
  <c r="K22" i="10"/>
  <c r="J95" i="1"/>
  <c r="J78" i="1"/>
  <c r="J138" i="1"/>
  <c r="J105" i="1" s="1"/>
  <c r="J106" i="1" s="1"/>
  <c r="J130" i="1"/>
  <c r="K35" i="10" s="1"/>
  <c r="K119" i="1"/>
  <c r="J32" i="1"/>
  <c r="K27" i="10" s="1"/>
  <c r="J151" i="1" l="1"/>
  <c r="K28" i="10"/>
  <c r="K30" i="10"/>
  <c r="K33" i="10" s="1"/>
  <c r="J94" i="1"/>
  <c r="J41" i="1"/>
  <c r="J42" i="1" s="1"/>
  <c r="J35" i="1"/>
  <c r="J36" i="1" s="1"/>
  <c r="J44" i="1" l="1"/>
  <c r="K24" i="10"/>
  <c r="K25" i="10" s="1"/>
  <c r="J67" i="1"/>
  <c r="J37" i="1"/>
  <c r="J38" i="1" s="1"/>
  <c r="J39" i="1" s="1"/>
  <c r="J157" i="1" l="1"/>
  <c r="J161" i="1" s="1"/>
  <c r="J163" i="1" s="1"/>
  <c r="J158" i="1"/>
  <c r="J97" i="1"/>
  <c r="J69" i="1"/>
  <c r="J74" i="1" s="1"/>
  <c r="J79" i="1"/>
  <c r="J93" i="1"/>
  <c r="J81" i="1" l="1"/>
  <c r="J82" i="1" s="1"/>
  <c r="J110" i="1" l="1"/>
  <c r="J111" i="1" s="1"/>
  <c r="J83" i="1" l="1"/>
  <c r="J85" i="1" s="1"/>
  <c r="L12" i="2" l="1"/>
  <c r="M17" i="3" s="1"/>
  <c r="K12" i="2"/>
  <c r="L17" i="3" s="1"/>
  <c r="L16" i="3" s="1"/>
  <c r="M16" i="3" l="1"/>
  <c r="L8" i="3"/>
  <c r="M12" i="2" l="1"/>
  <c r="N17" i="3" s="1"/>
  <c r="N16" i="3" s="1"/>
  <c r="L9" i="3"/>
  <c r="K17" i="1" s="1"/>
  <c r="K58" i="1" s="1"/>
  <c r="L26" i="3"/>
  <c r="L22" i="3"/>
  <c r="L14" i="3"/>
  <c r="L18" i="3"/>
  <c r="M8" i="3"/>
  <c r="N8" i="3" l="1"/>
  <c r="N18" i="3" s="1"/>
  <c r="K59" i="1"/>
  <c r="K72" i="1"/>
  <c r="K27" i="1"/>
  <c r="K145" i="1" s="1"/>
  <c r="K52" i="1" s="1"/>
  <c r="K54" i="1"/>
  <c r="K149" i="1" s="1"/>
  <c r="K68" i="1"/>
  <c r="K159" i="1" s="1"/>
  <c r="M9" i="3"/>
  <c r="L17" i="1" s="1"/>
  <c r="L58" i="1" s="1"/>
  <c r="M14" i="3"/>
  <c r="M26" i="3"/>
  <c r="M22" i="3"/>
  <c r="M18" i="3"/>
  <c r="K160" i="1" l="1"/>
  <c r="K150" i="1"/>
  <c r="L21" i="10"/>
  <c r="L38" i="10" s="1"/>
  <c r="L72" i="1"/>
  <c r="L68" i="1"/>
  <c r="L159" i="1" s="1"/>
  <c r="L59" i="1"/>
  <c r="K98" i="1"/>
  <c r="L54" i="1"/>
  <c r="L149" i="1" s="1"/>
  <c r="L27" i="1"/>
  <c r="K43" i="1"/>
  <c r="K31" i="1"/>
  <c r="K139" i="1"/>
  <c r="K30" i="1"/>
  <c r="K66" i="1" s="1"/>
  <c r="K155" i="1" s="1"/>
  <c r="K156" i="1" s="1"/>
  <c r="K29" i="1"/>
  <c r="K128" i="1"/>
  <c r="K137" i="1" s="1"/>
  <c r="N26" i="3"/>
  <c r="N22" i="3"/>
  <c r="N14" i="3"/>
  <c r="N9" i="3"/>
  <c r="M17" i="1" s="1"/>
  <c r="M58" i="1" s="1"/>
  <c r="L121" i="1" l="1"/>
  <c r="L145" i="1"/>
  <c r="L52" i="1" s="1"/>
  <c r="L120" i="1"/>
  <c r="M37" i="10" s="1"/>
  <c r="L160" i="1"/>
  <c r="L150" i="1"/>
  <c r="M21" i="10"/>
  <c r="M22" i="10" s="1"/>
  <c r="L22" i="10"/>
  <c r="L98" i="1"/>
  <c r="M72" i="1"/>
  <c r="L136" i="1"/>
  <c r="K138" i="1"/>
  <c r="K105" i="1" s="1"/>
  <c r="K106" i="1" s="1"/>
  <c r="K95" i="1"/>
  <c r="K78" i="1"/>
  <c r="K28" i="1"/>
  <c r="K32" i="1"/>
  <c r="M54" i="1"/>
  <c r="M149" i="1" s="1"/>
  <c r="M59" i="1"/>
  <c r="K122" i="1"/>
  <c r="K130" i="1"/>
  <c r="L35" i="10" s="1"/>
  <c r="L30" i="1"/>
  <c r="L66" i="1" s="1"/>
  <c r="L155" i="1" s="1"/>
  <c r="L156" i="1" s="1"/>
  <c r="M27" i="1"/>
  <c r="M145" i="1" s="1"/>
  <c r="M52" i="1" s="1"/>
  <c r="L31" i="1"/>
  <c r="L139" i="1"/>
  <c r="L43" i="1"/>
  <c r="L29" i="1"/>
  <c r="L128" i="1"/>
  <c r="L137" i="1" s="1"/>
  <c r="M68" i="1"/>
  <c r="M159" i="1" s="1"/>
  <c r="K147" i="1" l="1"/>
  <c r="K53" i="1" s="1"/>
  <c r="K153" i="1"/>
  <c r="K65" i="1" s="1"/>
  <c r="M121" i="1"/>
  <c r="M120" i="1"/>
  <c r="N37" i="10" s="1"/>
  <c r="M160" i="1"/>
  <c r="M150" i="1"/>
  <c r="N21" i="10"/>
  <c r="N22" i="10" s="1"/>
  <c r="L104" i="1"/>
  <c r="M98" i="1"/>
  <c r="M38" i="10"/>
  <c r="K35" i="1"/>
  <c r="K36" i="1" s="1"/>
  <c r="K67" i="1" s="1"/>
  <c r="L27" i="10"/>
  <c r="K41" i="1"/>
  <c r="K42" i="1" s="1"/>
  <c r="K94" i="1"/>
  <c r="M30" i="1"/>
  <c r="M66" i="1" s="1"/>
  <c r="M155" i="1" s="1"/>
  <c r="M156" i="1" s="1"/>
  <c r="M139" i="1"/>
  <c r="M31" i="1"/>
  <c r="M29" i="1"/>
  <c r="M43" i="1"/>
  <c r="M128" i="1"/>
  <c r="M137" i="1" s="1"/>
  <c r="L138" i="1"/>
  <c r="L105" i="1" s="1"/>
  <c r="M136" i="1"/>
  <c r="L32" i="1"/>
  <c r="L28" i="1"/>
  <c r="K56" i="1"/>
  <c r="L119" i="1"/>
  <c r="L122" i="1" s="1"/>
  <c r="L130" i="1"/>
  <c r="M35" i="10" s="1"/>
  <c r="L78" i="1"/>
  <c r="L95" i="1"/>
  <c r="L147" i="1" l="1"/>
  <c r="L53" i="1" s="1"/>
  <c r="L153" i="1"/>
  <c r="L65" i="1" s="1"/>
  <c r="K157" i="1"/>
  <c r="K161" i="1" s="1"/>
  <c r="K158" i="1"/>
  <c r="K151" i="1"/>
  <c r="L106" i="1"/>
  <c r="K97" i="1"/>
  <c r="M104" i="1"/>
  <c r="N38" i="10"/>
  <c r="L28" i="10"/>
  <c r="L30" i="10"/>
  <c r="L33" i="10" s="1"/>
  <c r="L35" i="1"/>
  <c r="L36" i="1" s="1"/>
  <c r="L37" i="1" s="1"/>
  <c r="M27" i="10"/>
  <c r="K44" i="1"/>
  <c r="L24" i="10"/>
  <c r="L25" i="10" s="1"/>
  <c r="M138" i="1"/>
  <c r="M105" i="1" s="1"/>
  <c r="K69" i="1"/>
  <c r="K74" i="1" s="1"/>
  <c r="K37" i="1"/>
  <c r="M28" i="1"/>
  <c r="M32" i="1"/>
  <c r="M130" i="1"/>
  <c r="N35" i="10" s="1"/>
  <c r="L41" i="1"/>
  <c r="L42" i="1" s="1"/>
  <c r="L94" i="1"/>
  <c r="L56" i="1"/>
  <c r="M119" i="1"/>
  <c r="M122" i="1" s="1"/>
  <c r="M56" i="1" s="1"/>
  <c r="M78" i="1"/>
  <c r="M95" i="1"/>
  <c r="M147" i="1" l="1"/>
  <c r="M53" i="1" s="1"/>
  <c r="M153" i="1"/>
  <c r="M65" i="1" s="1"/>
  <c r="K163" i="1"/>
  <c r="K165" i="1" s="1"/>
  <c r="L36" i="10" s="1"/>
  <c r="L151" i="1"/>
  <c r="M106" i="1"/>
  <c r="M35" i="1"/>
  <c r="M36" i="1" s="1"/>
  <c r="N27" i="10"/>
  <c r="M28" i="10"/>
  <c r="M30" i="10"/>
  <c r="M33" i="10" s="1"/>
  <c r="L44" i="1"/>
  <c r="M24" i="10"/>
  <c r="M25" i="10" s="1"/>
  <c r="L67" i="1"/>
  <c r="L158" i="1" s="1"/>
  <c r="L38" i="1"/>
  <c r="L39" i="1" s="1"/>
  <c r="K38" i="1"/>
  <c r="K39" i="1" s="1"/>
  <c r="M94" i="1"/>
  <c r="M41" i="1"/>
  <c r="M42" i="1" s="1"/>
  <c r="N52" i="10" l="1"/>
  <c r="N54" i="10" s="1"/>
  <c r="L97" i="1"/>
  <c r="L157" i="1"/>
  <c r="L161" i="1" s="1"/>
  <c r="L163" i="1" s="1"/>
  <c r="L165" i="1" s="1"/>
  <c r="M36" i="10" s="1"/>
  <c r="M151" i="1"/>
  <c r="M44" i="1"/>
  <c r="N24" i="10"/>
  <c r="N28" i="10"/>
  <c r="N30" i="10"/>
  <c r="N33" i="10" s="1"/>
  <c r="L69" i="1"/>
  <c r="L74" i="1" s="1"/>
  <c r="M67" i="1"/>
  <c r="M158" i="1" s="1"/>
  <c r="K93" i="1"/>
  <c r="K79" i="1"/>
  <c r="L93" i="1"/>
  <c r="M37" i="1"/>
  <c r="N55" i="10" l="1"/>
  <c r="L40" i="10"/>
  <c r="L45" i="10" s="1"/>
  <c r="L46" i="10" s="1"/>
  <c r="M97" i="1"/>
  <c r="M157" i="1"/>
  <c r="M161" i="1" s="1"/>
  <c r="M163" i="1" s="1"/>
  <c r="M165" i="1" s="1"/>
  <c r="N36" i="10" s="1"/>
  <c r="N25" i="10"/>
  <c r="M69" i="1"/>
  <c r="M74" i="1" s="1"/>
  <c r="L79" i="1"/>
  <c r="K81" i="1"/>
  <c r="K82" i="1" s="1"/>
  <c r="M38" i="1"/>
  <c r="M39" i="1" s="1"/>
  <c r="M40" i="10" l="1"/>
  <c r="M45" i="10" s="1"/>
  <c r="M46" i="10" s="1"/>
  <c r="N40" i="10"/>
  <c r="M93" i="1"/>
  <c r="K83" i="1"/>
  <c r="K85" i="1" s="1"/>
  <c r="M79" i="1"/>
  <c r="M81" i="1" s="1"/>
  <c r="M82" i="1" s="1"/>
  <c r="L81" i="1"/>
  <c r="L82" i="1" s="1"/>
  <c r="N45" i="10" l="1"/>
  <c r="L83" i="1"/>
  <c r="L85" i="1" s="1"/>
  <c r="K110" i="1"/>
  <c r="K111" i="1" s="1"/>
  <c r="N46" i="10" l="1"/>
  <c r="I53" i="10"/>
  <c r="I54" i="10" s="1"/>
  <c r="I55" i="10" s="1"/>
  <c r="N65" i="10"/>
  <c r="L110" i="1"/>
  <c r="L111" i="1" s="1"/>
  <c r="I65" i="10" l="1"/>
  <c r="M110" i="1"/>
  <c r="M111" i="1" s="1"/>
  <c r="M83" i="1"/>
  <c r="M85" i="1" s="1"/>
  <c r="I147" i="1" l="1"/>
  <c r="I151" i="1" l="1"/>
  <c r="I163" i="1" s="1"/>
  <c r="J165" i="1" s="1"/>
  <c r="K36" i="10" s="1"/>
  <c r="K40" i="10" s="1"/>
  <c r="K45" i="10" s="1"/>
  <c r="K46" i="10" s="1"/>
  <c r="I53" i="1"/>
  <c r="I165" i="1"/>
  <c r="J36" i="10" s="1"/>
  <c r="J40" i="10" s="1"/>
  <c r="J45" i="10" s="1"/>
  <c r="J46" i="10" s="1"/>
  <c r="I96" i="1" l="1"/>
  <c r="I102" i="1" s="1"/>
  <c r="I113" i="1" s="1"/>
  <c r="I51" i="1" s="1"/>
  <c r="J96" i="1"/>
  <c r="J102" i="1" s="1"/>
  <c r="J113" i="1" s="1"/>
  <c r="I51" i="10"/>
  <c r="I57" i="10" s="1"/>
  <c r="I59" i="10" s="1"/>
  <c r="I62" i="10" s="1"/>
  <c r="N51" i="10"/>
  <c r="N57" i="10" s="1"/>
  <c r="N59" i="10" s="1"/>
  <c r="N62" i="10" s="1"/>
  <c r="K96" i="1" l="1"/>
  <c r="K102" i="1" s="1"/>
  <c r="K113" i="1" s="1"/>
  <c r="I55" i="1"/>
  <c r="I61" i="1" s="1"/>
  <c r="I87" i="1" s="1"/>
  <c r="J51" i="1"/>
  <c r="J55" i="1" s="1"/>
  <c r="J61" i="1" s="1"/>
  <c r="J87" i="1" s="1"/>
  <c r="N64" i="10"/>
  <c r="D70" i="10"/>
  <c r="I64" i="10"/>
  <c r="D85" i="10"/>
  <c r="K51" i="1" l="1"/>
  <c r="K55" i="1" s="1"/>
  <c r="K61" i="1" s="1"/>
  <c r="K87" i="1" s="1"/>
  <c r="L96" i="1"/>
  <c r="L102" i="1" s="1"/>
  <c r="L113" i="1" s="1"/>
  <c r="L51" i="1" s="1"/>
  <c r="L55" i="1" s="1"/>
  <c r="L61" i="1" s="1"/>
  <c r="L87" i="1" s="1"/>
  <c r="M96" i="1" l="1"/>
  <c r="M102" i="1" s="1"/>
  <c r="M113" i="1" s="1"/>
  <c r="M51" i="1" s="1"/>
  <c r="M55" i="1" s="1"/>
  <c r="M61" i="1" s="1"/>
  <c r="M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Trading Floor User</author>
  </authors>
  <commentList>
    <comment ref="K23" authorId="0" shapeId="0" xr:uid="{9D403F86-0A5B-9149-B93E-DDFDE704136A}">
      <text>
        <r>
          <rPr>
            <b/>
            <sz val="10"/>
            <color rgb="FF000000"/>
            <rFont val="Tahoma"/>
            <family val="2"/>
          </rPr>
          <t xml:space="preserve">Industrial scale production of carbon-free aluminum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K28" authorId="0" shapeId="0" xr:uid="{EE1F1AE5-44CD-DD41-8292-DB0ECE4FFF0B}">
      <text>
        <r>
          <rPr>
            <b/>
            <sz val="10"/>
            <color rgb="FF000000"/>
            <rFont val="Tahoma"/>
            <family val="2"/>
          </rPr>
          <t xml:space="preserve">Industrial scale production of carbon-free aluminum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K33" authorId="0" shapeId="0" xr:uid="{17682B18-0819-FF43-9974-1F96192756FB}">
      <text>
        <r>
          <rPr>
            <b/>
            <sz val="10"/>
            <color rgb="FF000000"/>
            <rFont val="Tahoma"/>
            <family val="2"/>
          </rPr>
          <t xml:space="preserve">Industrial scale production of carbon-free aluminum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35" authorId="1" shapeId="0" xr:uid="{5F88862F-E0A7-46EA-B27E-5E46658C29AE}">
      <text>
        <r>
          <rPr>
            <b/>
            <sz val="9"/>
            <color rgb="FF000000"/>
            <rFont val="Tahoma"/>
            <family val="2"/>
          </rPr>
          <t>Other includes third-party sales of flat-rolled aluminum and energy, as well as realized gains and losses related to embedded derivative instruments designated as cash flow hedges of forward sales of aluminum.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Trading Floor User</author>
  </authors>
  <commentList>
    <comment ref="C24" authorId="0" shapeId="0" xr:uid="{DC431941-C99E-48F4-8AB4-337E5695FFC0}">
      <text>
        <r>
          <rPr>
            <b/>
            <sz val="9"/>
            <color rgb="FF000000"/>
            <rFont val="Tahoma"/>
            <family val="2"/>
          </rPr>
          <t>Other includes third-party sales of flat-rolled aluminum and energy, as well as realized gains and losses related to embedded derivative instruments designated as cash flow hedges of forward sales of aluminum.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Kharbanda, Vardaan</author>
  </authors>
  <commentList>
    <comment ref="D11" authorId="0" shapeId="0" xr:uid="{780E3E97-93EB-4EA1-9F2E-29BB535D7518}">
      <text>
        <r>
          <rPr>
            <sz val="9"/>
            <color rgb="FF000000"/>
            <rFont val="Tahoma"/>
            <family val="2"/>
          </rPr>
          <t xml:space="preserve">2022 Q3 10-K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49" authorId="0" shapeId="0" xr:uid="{1FEBBA9A-BD54-7D4F-9805-CDEED3DCC409}">
      <text>
        <r>
          <rPr>
            <sz val="10"/>
            <color rgb="FF000000"/>
            <rFont val="Tahoma"/>
            <family val="2"/>
          </rPr>
          <t xml:space="preserve">Except for equity investments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58" authorId="0" shapeId="0" xr:uid="{E096FAB0-2578-4944-ACBA-B99E80F27618}">
      <text>
        <r>
          <rPr>
            <b/>
            <sz val="10"/>
            <color rgb="FF000000"/>
            <rFont val="Tahoma"/>
            <family val="2"/>
          </rPr>
          <t>Includes fair value of derivative instruments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D59" authorId="0" shapeId="0" xr:uid="{6C0A1641-3F68-A842-8858-2B6AC1D4F321}">
      <text>
        <r>
          <rPr>
            <sz val="10"/>
            <color rgb="FF000000"/>
            <rFont val="Tahoma"/>
            <family val="2"/>
          </rPr>
          <t xml:space="preserve">2021 10-K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<sst xmlns="http://schemas.openxmlformats.org/spreadsheetml/2006/main" count="715" uniqueCount="442">
  <si>
    <t>x</t>
  </si>
  <si>
    <t>Company name</t>
  </si>
  <si>
    <t>Ticker</t>
  </si>
  <si>
    <t>Latest closing share price</t>
  </si>
  <si>
    <t>Latest closing share price date</t>
  </si>
  <si>
    <t>Latest fiscal year end date</t>
  </si>
  <si>
    <t>Alcoa</t>
  </si>
  <si>
    <t>AA</t>
  </si>
  <si>
    <t>Fiscal year end date</t>
  </si>
  <si>
    <t>Fiscal year</t>
  </si>
  <si>
    <t>Revenue</t>
  </si>
  <si>
    <t>Cost of goods sold</t>
  </si>
  <si>
    <t>Gross Profit</t>
  </si>
  <si>
    <t>Operating Profit (EBIT)</t>
  </si>
  <si>
    <t>Pretax Profit</t>
  </si>
  <si>
    <t>Taxes</t>
  </si>
  <si>
    <t>Net income</t>
  </si>
  <si>
    <t>EBITDA</t>
  </si>
  <si>
    <t>Stock based compensation</t>
  </si>
  <si>
    <t>Adjusted EBITDA</t>
  </si>
  <si>
    <t>Selling, general, administrative, and other expenses</t>
  </si>
  <si>
    <t>Reseach and development expense</t>
  </si>
  <si>
    <t>Interest expense</t>
  </si>
  <si>
    <t>Net income attributable to nonctrolling interest</t>
  </si>
  <si>
    <t>Inventories</t>
  </si>
  <si>
    <t>Other current assets</t>
  </si>
  <si>
    <t>Properties, plant, and equipment, net</t>
  </si>
  <si>
    <t>Total assets</t>
  </si>
  <si>
    <t>Accounts payable</t>
  </si>
  <si>
    <t>Other current liabilites</t>
  </si>
  <si>
    <t>Long-term debt</t>
  </si>
  <si>
    <t>Total current assets</t>
  </si>
  <si>
    <t>Total current liabilites</t>
  </si>
  <si>
    <t>Other noncurrent liablities</t>
  </si>
  <si>
    <t>Additional paid-in capital</t>
  </si>
  <si>
    <t>Common stock</t>
  </si>
  <si>
    <t>Accumulated other comprehensive loss</t>
  </si>
  <si>
    <t>Total liabilites</t>
  </si>
  <si>
    <t>Total shareholders' equity</t>
  </si>
  <si>
    <t>Balance check</t>
  </si>
  <si>
    <t>Long-term investments</t>
  </si>
  <si>
    <t>Other noncurrent assets</t>
  </si>
  <si>
    <t>Total equity</t>
  </si>
  <si>
    <t>Total liabilities and equity</t>
  </si>
  <si>
    <t>Assumptions</t>
  </si>
  <si>
    <t>Revenue Build</t>
  </si>
  <si>
    <t>Bauxite sales % growth</t>
  </si>
  <si>
    <t>Alumina sales % growth</t>
  </si>
  <si>
    <t>Aluminum sales % growth</t>
  </si>
  <si>
    <t>Gross profit margin</t>
  </si>
  <si>
    <t>SG&amp;A % of sales</t>
  </si>
  <si>
    <t>R&amp;D % of sales</t>
  </si>
  <si>
    <t>Weak case</t>
  </si>
  <si>
    <t>Base case</t>
  </si>
  <si>
    <t>Best case</t>
  </si>
  <si>
    <t>Tax rate</t>
  </si>
  <si>
    <t>Bauxite</t>
  </si>
  <si>
    <t>Alumina</t>
  </si>
  <si>
    <t>Aluminum</t>
  </si>
  <si>
    <t>% Revenue</t>
  </si>
  <si>
    <t>YoY % Growth</t>
  </si>
  <si>
    <t>In millions of $</t>
  </si>
  <si>
    <t>Revenue YoY % Growth</t>
  </si>
  <si>
    <t>Retained Earnings (deficit)</t>
  </si>
  <si>
    <t>Depreciation and amortization</t>
  </si>
  <si>
    <t>Stock based compensation expense</t>
  </si>
  <si>
    <t>Decreases / (Increases) in working capital assets</t>
  </si>
  <si>
    <t>Increases / (Decreases) in working capital liabilities</t>
  </si>
  <si>
    <t>Other noncurrent liabilities</t>
  </si>
  <si>
    <t>Cash flows from operations</t>
  </si>
  <si>
    <t>Capital expenditures</t>
  </si>
  <si>
    <t>Reflects thesis that aluminum will be the fastest growing segment for AA</t>
  </si>
  <si>
    <t>Short-term receivables</t>
  </si>
  <si>
    <t>Income tax payable</t>
  </si>
  <si>
    <t>Deferred tax liabilites</t>
  </si>
  <si>
    <t>Alcoa Corporation (AA)</t>
  </si>
  <si>
    <t>$38.35</t>
  </si>
  <si>
    <t>Alcoa Corporation</t>
  </si>
  <si>
    <t xml:space="preserve">AA   013872106   BYNF418   NYSE    Common stock    </t>
  </si>
  <si>
    <t>Source: FactSet Fundamentals</t>
  </si>
  <si>
    <t>JUN '22</t>
  </si>
  <si>
    <t>DEC '21</t>
  </si>
  <si>
    <t>DEC '20</t>
  </si>
  <si>
    <t>DEC '19</t>
  </si>
  <si>
    <t>DEC '18</t>
  </si>
  <si>
    <t>DEC '17</t>
  </si>
  <si>
    <t>LTM</t>
  </si>
  <si>
    <t>Restate</t>
  </si>
  <si>
    <t>Sales</t>
  </si>
  <si>
    <t>Cost of Goods Sold (COGS) incl. D&amp;A</t>
  </si>
  <si>
    <t>COGS excluding D&amp;A</t>
  </si>
  <si>
    <t>Depreciation &amp; Amortization Expense</t>
  </si>
  <si>
    <t>Depreciation</t>
  </si>
  <si>
    <t>Amortization of Intangibles</t>
  </si>
  <si>
    <t>Gross Income</t>
  </si>
  <si>
    <t>SG&amp;A Expense</t>
  </si>
  <si>
    <t>Research &amp; Development</t>
  </si>
  <si>
    <t>Other SG&amp;A</t>
  </si>
  <si>
    <t>EBIT (Operating Income)</t>
  </si>
  <si>
    <t>Nonoperating Income - Net</t>
  </si>
  <si>
    <t>Nonoperating Interest Income</t>
  </si>
  <si>
    <t>Equity in Earnings of Affiliates</t>
  </si>
  <si>
    <t>Other Income (Expense)</t>
  </si>
  <si>
    <t>Interest Expense</t>
  </si>
  <si>
    <t>Gross Interest Expense</t>
  </si>
  <si>
    <t>Interest Capitalized</t>
  </si>
  <si>
    <t>Unusual Expense - Net</t>
  </si>
  <si>
    <t>Impairments</t>
  </si>
  <si>
    <t>Goodwill</t>
  </si>
  <si>
    <t>Property,Plant &amp; Equipment</t>
  </si>
  <si>
    <t>Restructuring Expense</t>
  </si>
  <si>
    <t>Legal Claim Expense</t>
  </si>
  <si>
    <t>Unrealized Valuation Gain/Loss</t>
  </si>
  <si>
    <t>Hedges/Derivatives</t>
  </si>
  <si>
    <t>Excpl Chrgs - Others</t>
  </si>
  <si>
    <t>Early termination of Contracts costs (Income)</t>
  </si>
  <si>
    <t>Pretax Income</t>
  </si>
  <si>
    <t>Income Taxes</t>
  </si>
  <si>
    <t>Income Taxes - Current Domestic</t>
  </si>
  <si>
    <t>Income Taxes - Current Foreign</t>
  </si>
  <si>
    <t>Income Taxes - Deferred Domestic</t>
  </si>
  <si>
    <t>Income Taxes - Deferred Foreign</t>
  </si>
  <si>
    <t>Consolidated Net Income</t>
  </si>
  <si>
    <t>Minority Interest</t>
  </si>
  <si>
    <t>Net Income</t>
  </si>
  <si>
    <t>Preferred Dividends</t>
  </si>
  <si>
    <t>Net Income available to Common</t>
  </si>
  <si>
    <t>Per Share</t>
  </si>
  <si>
    <t>EPS (recurring)</t>
  </si>
  <si>
    <t>Basic Shares Outstanding</t>
  </si>
  <si>
    <t>Total Shares Outstanding</t>
  </si>
  <si>
    <t>EPS (diluted)</t>
  </si>
  <si>
    <t>Diluted Shares Outstanding</t>
  </si>
  <si>
    <t>Earnings Persistence</t>
  </si>
  <si>
    <t>Dividends per Share</t>
  </si>
  <si>
    <t>Payout Ratio</t>
  </si>
  <si>
    <t>EBIT</t>
  </si>
  <si>
    <t>All figures in millions of U.S. Dollar except per share items.</t>
  </si>
  <si>
    <t>Other income (expense), net</t>
  </si>
  <si>
    <t>Operating Activities</t>
  </si>
  <si>
    <t>Net Income / Starting Line</t>
  </si>
  <si>
    <t>Depreciation, Depletion &amp; Amortization</t>
  </si>
  <si>
    <t>Depreciation and Depletion</t>
  </si>
  <si>
    <t>Amortization of Intangible Assets</t>
  </si>
  <si>
    <t>Deferred Taxes &amp; Investment Tax Credit</t>
  </si>
  <si>
    <t>Deferred Taxes</t>
  </si>
  <si>
    <t>Other Funds</t>
  </si>
  <si>
    <t>Funds from Operations</t>
  </si>
  <si>
    <t>Changes in Working Capital</t>
  </si>
  <si>
    <t>Receivables</t>
  </si>
  <si>
    <t>Accounts Payable</t>
  </si>
  <si>
    <t>Income Taxes Payable</t>
  </si>
  <si>
    <t>Other Accruals</t>
  </si>
  <si>
    <t>Other Assets/Liabilities</t>
  </si>
  <si>
    <t>Net Operating Cash Flow</t>
  </si>
  <si>
    <t>Investing Activities</t>
  </si>
  <si>
    <t>Capital Expenditures</t>
  </si>
  <si>
    <t>Capital Expenditures (Fixed Assets)</t>
  </si>
  <si>
    <t>Net Assets from Acquisitions</t>
  </si>
  <si>
    <t>Sale of Fixed Assets &amp; Businesses</t>
  </si>
  <si>
    <t>Purchase/Sale of Investments</t>
  </si>
  <si>
    <t>Purchase of Investments</t>
  </si>
  <si>
    <t>Sale/Maturity of Investments</t>
  </si>
  <si>
    <t>Other Uses</t>
  </si>
  <si>
    <t>Other Sources</t>
  </si>
  <si>
    <t>Net Investing Cash Flow</t>
  </si>
  <si>
    <t>Financing Activities</t>
  </si>
  <si>
    <t>Cash Dividends Paid</t>
  </si>
  <si>
    <t>Common Dividends</t>
  </si>
  <si>
    <t>Change in Capital Stock</t>
  </si>
  <si>
    <t>Repurchase of Common &amp; Preferred Stk.</t>
  </si>
  <si>
    <t>Sale of Common &amp; Preferred Stock</t>
  </si>
  <si>
    <t>Proceeds from Sale of Stock</t>
  </si>
  <si>
    <t>Proceeds from Stock Options</t>
  </si>
  <si>
    <t>Issuance/Reduction of Debt, Net</t>
  </si>
  <si>
    <t>Change in Current Debt</t>
  </si>
  <si>
    <t>Change in Long-Term Debt</t>
  </si>
  <si>
    <t>Issuance of Long-Term Debt</t>
  </si>
  <si>
    <t>Reduction in Long-Term Debt</t>
  </si>
  <si>
    <t>Net Financing Cash Flow</t>
  </si>
  <si>
    <t>All Activities</t>
  </si>
  <si>
    <t>Exchange Rate Effect</t>
  </si>
  <si>
    <t>Net Change in Cash</t>
  </si>
  <si>
    <t>Free Cash Flow</t>
  </si>
  <si>
    <t>Free Cash Flow per Share</t>
  </si>
  <si>
    <t>Free Cash Flow Yield (%)</t>
  </si>
  <si>
    <t>Net income attributable to Alcoa Corporation</t>
  </si>
  <si>
    <t>Assets</t>
  </si>
  <si>
    <t>Cash &amp; Short-Term Investments</t>
  </si>
  <si>
    <t>Cash Only</t>
  </si>
  <si>
    <t>Total Short Term Investments</t>
  </si>
  <si>
    <t>Short-Term Receivables</t>
  </si>
  <si>
    <t>Accounts Receivables, Net</t>
  </si>
  <si>
    <t>Accounts Receivables, Gross</t>
  </si>
  <si>
    <t>Bad Debt/Doubtful Accounts</t>
  </si>
  <si>
    <t>Other Receivables</t>
  </si>
  <si>
    <t>Finished Goods</t>
  </si>
  <si>
    <t>Work in Progress</t>
  </si>
  <si>
    <t>Raw Materials</t>
  </si>
  <si>
    <t>Progress Payments &amp; Other</t>
  </si>
  <si>
    <t>Other Current Assets</t>
  </si>
  <si>
    <t>Miscellaneous Current Assets</t>
  </si>
  <si>
    <t>Total Current Assets</t>
  </si>
  <si>
    <t>Net Property, Plant &amp; Equipment</t>
  </si>
  <si>
    <t>Property, Plant &amp; Equipment - Gross</t>
  </si>
  <si>
    <t>Land &amp; Improvements</t>
  </si>
  <si>
    <t>Machinery &amp; Equipment</t>
  </si>
  <si>
    <t>Construction in Progress</t>
  </si>
  <si>
    <t>Other Property, Plant &amp; Equipment</t>
  </si>
  <si>
    <t>Operating Lease Right-of-Use Assets</t>
  </si>
  <si>
    <t>Accumulated Depreciation</t>
  </si>
  <si>
    <t xml:space="preserve">Total Long-Term Investments </t>
  </si>
  <si>
    <t>LT Investment - Affiliate Companies</t>
  </si>
  <si>
    <t>Other Long-Term Investments</t>
  </si>
  <si>
    <t>Long-Term Note Receivable</t>
  </si>
  <si>
    <t>Intangible Assets</t>
  </si>
  <si>
    <t>Other Intangible Assets</t>
  </si>
  <si>
    <t>Deferred Tax Assets</t>
  </si>
  <si>
    <t>Other Assets</t>
  </si>
  <si>
    <t>Deferred Charges</t>
  </si>
  <si>
    <t>Tangible Other Assets</t>
  </si>
  <si>
    <t>Total Assets</t>
  </si>
  <si>
    <t>Liabilities &amp; Shareholders' Equity</t>
  </si>
  <si>
    <t>Current</t>
  </si>
  <si>
    <t>ST Debt &amp; Curr. Portion LT Debt</t>
  </si>
  <si>
    <t>Income Tax Payable</t>
  </si>
  <si>
    <t>Other Current Liabilities</t>
  </si>
  <si>
    <t>Accrued Payroll</t>
  </si>
  <si>
    <t>Miscellaneous Current Liabilities</t>
  </si>
  <si>
    <t>Total Current Liabilities</t>
  </si>
  <si>
    <t>Long-Term</t>
  </si>
  <si>
    <t>Long-Term Debt</t>
  </si>
  <si>
    <t>Long-Term Debt excl Lease Obligations</t>
  </si>
  <si>
    <t>Capital and Operating Lease Obligations</t>
  </si>
  <si>
    <t>Provision for Risks &amp; Charges</t>
  </si>
  <si>
    <t>Deferred Tax Liabilities</t>
  </si>
  <si>
    <t>Other Liabilities</t>
  </si>
  <si>
    <t>Other Liabilities (excl. Deferred Income)</t>
  </si>
  <si>
    <t>Deferred Income</t>
  </si>
  <si>
    <t>Total Liabilities</t>
  </si>
  <si>
    <t>Equity</t>
  </si>
  <si>
    <t>Preferred Stock (Carrying Value)</t>
  </si>
  <si>
    <t>Non-Redeemable Preferred Stock</t>
  </si>
  <si>
    <t>Common Equity</t>
  </si>
  <si>
    <t>Common Stock Par/Carry Value</t>
  </si>
  <si>
    <t>Additional Paid-In Capital/Capital Surplus</t>
  </si>
  <si>
    <t>Retained Earnings</t>
  </si>
  <si>
    <t>Cumulative Translation Adjustment/Unrealized For. Exch. Gain</t>
  </si>
  <si>
    <t>Unrealized Gain/Loss Marketable Securities</t>
  </si>
  <si>
    <t>Other Appropriated Reserves</t>
  </si>
  <si>
    <t>Treasury Stock</t>
  </si>
  <si>
    <t>Total Shareholders' Equity</t>
  </si>
  <si>
    <t>Accumulated Minority Interest</t>
  </si>
  <si>
    <t>Total Equity</t>
  </si>
  <si>
    <t>Total Liabilities &amp; Shareholders' Equity</t>
  </si>
  <si>
    <t>Book Value per Share</t>
  </si>
  <si>
    <t>Tangible Book Value per Share</t>
  </si>
  <si>
    <t>Cash and ST investments</t>
  </si>
  <si>
    <t>Intangible assets</t>
  </si>
  <si>
    <t>ST Debt and current portion of LT debt</t>
  </si>
  <si>
    <t>Deferred tax assets</t>
  </si>
  <si>
    <t>Accrued payroll</t>
  </si>
  <si>
    <t>Financial Statement Model</t>
  </si>
  <si>
    <t>In millions of  $</t>
  </si>
  <si>
    <t>In millions of $, except per share data</t>
  </si>
  <si>
    <t>Liablities</t>
  </si>
  <si>
    <t>Shareholders' Equity</t>
  </si>
  <si>
    <t>Income Statement</t>
  </si>
  <si>
    <t>Balance Sheet</t>
  </si>
  <si>
    <t>Cash Flow Statement</t>
  </si>
  <si>
    <t>Active case:</t>
  </si>
  <si>
    <t>Deferred taxes</t>
  </si>
  <si>
    <t xml:space="preserve">Beginning of period </t>
  </si>
  <si>
    <t>Plus: Capital expenditures</t>
  </si>
  <si>
    <t>End of period</t>
  </si>
  <si>
    <t>Property, plant, and equipment, net</t>
  </si>
  <si>
    <t>AA-US</t>
  </si>
  <si>
    <t>Percent of Total (%)</t>
  </si>
  <si>
    <t>DEC '12</t>
  </si>
  <si>
    <t>DEC '13</t>
  </si>
  <si>
    <t>DEC '14</t>
  </si>
  <si>
    <t>DEC '15</t>
  </si>
  <si>
    <t>DEC '16</t>
  </si>
  <si>
    <t>Total</t>
  </si>
  <si>
    <t>-</t>
  </si>
  <si>
    <t>Other</t>
  </si>
  <si>
    <t>Historical Segments</t>
  </si>
  <si>
    <t>Cast Products</t>
  </si>
  <si>
    <t>Rolled Products</t>
  </si>
  <si>
    <t>Energy</t>
  </si>
  <si>
    <t>Global Rolled Products</t>
  </si>
  <si>
    <t>Primary Metals</t>
  </si>
  <si>
    <t>Engineered Products &amp; Solutions</t>
  </si>
  <si>
    <t>Transportation &amp; Construction Solutions</t>
  </si>
  <si>
    <t>Other sales % growth</t>
  </si>
  <si>
    <t>% of revenue</t>
  </si>
  <si>
    <t>Plus: Purchases</t>
  </si>
  <si>
    <t>Less: Amortization</t>
  </si>
  <si>
    <t>D&amp;A not related to PP&amp;E</t>
  </si>
  <si>
    <t>Total D&amp;A</t>
  </si>
  <si>
    <t>Purchases of LT intangible assets</t>
  </si>
  <si>
    <t>Net change in cash</t>
  </si>
  <si>
    <t>Provision for risks and charges</t>
  </si>
  <si>
    <t>Revolving credit line</t>
  </si>
  <si>
    <t>Accumulated minority interest</t>
  </si>
  <si>
    <t>Changes in Net Working Capital</t>
  </si>
  <si>
    <t>Net working capital</t>
  </si>
  <si>
    <t>Weighted Average Cost of Capital</t>
  </si>
  <si>
    <t xml:space="preserve"> </t>
  </si>
  <si>
    <t>Company Name</t>
  </si>
  <si>
    <t>Total Debt</t>
  </si>
  <si>
    <t>Debt / Equity</t>
  </si>
  <si>
    <t>Debt / Total Capital</t>
  </si>
  <si>
    <t>Equity / Total Capital</t>
  </si>
  <si>
    <t>Levered Beta</t>
  </si>
  <si>
    <t>Unlevered Beta</t>
  </si>
  <si>
    <t>Relevered Beta</t>
  </si>
  <si>
    <t>$ in millions</t>
  </si>
  <si>
    <t>ARNC</t>
  </si>
  <si>
    <t>Alcoa Corp.</t>
  </si>
  <si>
    <t>Kaiser Aluminum Corp.</t>
  </si>
  <si>
    <t>KALU</t>
  </si>
  <si>
    <t>Average Leverage Level</t>
  </si>
  <si>
    <t>WACC</t>
  </si>
  <si>
    <t>Cost of Equity Calculation</t>
  </si>
  <si>
    <t>Risk Free Rate</t>
  </si>
  <si>
    <t>Beta</t>
  </si>
  <si>
    <t>Market Risk Premium</t>
  </si>
  <si>
    <t>Cost of Debt Calculation</t>
  </si>
  <si>
    <t>Yield of Debt</t>
  </si>
  <si>
    <t>Tax Rate</t>
  </si>
  <si>
    <t>After Tax Cost of Debt</t>
  </si>
  <si>
    <t>Optimal Capital Structure Based on Peers</t>
  </si>
  <si>
    <t>Total Debt / Total Capital</t>
  </si>
  <si>
    <t>Total Equity / Total Capital</t>
  </si>
  <si>
    <t>Century Aluminum Company</t>
  </si>
  <si>
    <t>CENX</t>
  </si>
  <si>
    <t>Arconic Corp.</t>
  </si>
  <si>
    <t>FCX</t>
  </si>
  <si>
    <t>Freeport-McMoRan, Inc.</t>
  </si>
  <si>
    <t>Cost of Equity</t>
  </si>
  <si>
    <t>Avg. YTM of AA corp. bonds, Bloomberg</t>
  </si>
  <si>
    <t>Discounted Cash Flow Analysis</t>
  </si>
  <si>
    <t>Most recent fiscal year end</t>
  </si>
  <si>
    <t>End of first fiscal year</t>
  </si>
  <si>
    <t>Most recent quarter end date</t>
  </si>
  <si>
    <t>Valuation date</t>
  </si>
  <si>
    <t>Share price date</t>
  </si>
  <si>
    <t>Discount rate</t>
  </si>
  <si>
    <t>Share price</t>
  </si>
  <si>
    <t>Portion of first year cash flows in forecast</t>
  </si>
  <si>
    <t>Fiscal year end</t>
  </si>
  <si>
    <t>Actual</t>
  </si>
  <si>
    <t>Forecasts</t>
  </si>
  <si>
    <t>Tax on EBIT</t>
  </si>
  <si>
    <t>Effective tax rate</t>
  </si>
  <si>
    <t>NOPAT</t>
  </si>
  <si>
    <t>Changes in net working capital</t>
  </si>
  <si>
    <t>as % of revenue</t>
  </si>
  <si>
    <t>Unlevered Free Cash Flows (UFCF)</t>
  </si>
  <si>
    <t>% margin</t>
  </si>
  <si>
    <t>% yoy growth</t>
  </si>
  <si>
    <t>Date for discounting cash flows</t>
  </si>
  <si>
    <t>UFCF stub adjusted</t>
  </si>
  <si>
    <t>Val date</t>
  </si>
  <si>
    <t>Yr 1 - stub</t>
  </si>
  <si>
    <t>Present value of UFCF</t>
  </si>
  <si>
    <t>PGR Method</t>
  </si>
  <si>
    <t>Net Debt</t>
  </si>
  <si>
    <t>Debt</t>
  </si>
  <si>
    <t>Convertible debt</t>
  </si>
  <si>
    <t>Preferred stock</t>
  </si>
  <si>
    <t>Noncontrolling (minority) interests</t>
  </si>
  <si>
    <t>Gross debt and equivalents</t>
  </si>
  <si>
    <t>Nonoperating assets</t>
  </si>
  <si>
    <t>Cash</t>
  </si>
  <si>
    <t>Equity investments</t>
  </si>
  <si>
    <t>Source Doc</t>
  </si>
  <si>
    <t>Source Date</t>
  </si>
  <si>
    <t>PV of FCF</t>
  </si>
  <si>
    <t>PGR</t>
  </si>
  <si>
    <t>Next year FCF</t>
  </si>
  <si>
    <t>Terminal value</t>
  </si>
  <si>
    <t>Equity Value</t>
  </si>
  <si>
    <t>FD Shares Outstanding</t>
  </si>
  <si>
    <t>Target Price</t>
  </si>
  <si>
    <t>Current Price</t>
  </si>
  <si>
    <t>Implied Upside</t>
  </si>
  <si>
    <t>Implied Exit Multiple</t>
  </si>
  <si>
    <t>Price</t>
  </si>
  <si>
    <t>Market Cap.</t>
  </si>
  <si>
    <t>Enterprise Value</t>
  </si>
  <si>
    <t>Sales LTM</t>
  </si>
  <si>
    <t>EBIT LTM</t>
  </si>
  <si>
    <t>EBITDA LTM</t>
  </si>
  <si>
    <t>EPS LTM</t>
  </si>
  <si>
    <t>EV / EBIT</t>
  </si>
  <si>
    <t>EV / EBITDA</t>
  </si>
  <si>
    <t>EV / Sales</t>
  </si>
  <si>
    <t>Price / Earnings</t>
  </si>
  <si>
    <t>Comparable Companies Analysis</t>
  </si>
  <si>
    <t>In millions, except per share data</t>
  </si>
  <si>
    <t>Key Metric Statistics</t>
  </si>
  <si>
    <t>Min</t>
  </si>
  <si>
    <t>Q1</t>
  </si>
  <si>
    <t xml:space="preserve">Median </t>
  </si>
  <si>
    <t xml:space="preserve">Mean </t>
  </si>
  <si>
    <t>Q3</t>
  </si>
  <si>
    <t>Max</t>
  </si>
  <si>
    <t>EM Method</t>
  </si>
  <si>
    <t>Terminal Value</t>
  </si>
  <si>
    <t>PV of TV</t>
  </si>
  <si>
    <t xml:space="preserve">Implied Perpetuity Growth Rate </t>
  </si>
  <si>
    <t>Enterpise Value</t>
  </si>
  <si>
    <t>EV/ EBITDA</t>
  </si>
  <si>
    <t>Changes in accumulated distributions (net of contributions) of minority interest</t>
  </si>
  <si>
    <t>Increases in ST and LT borrowing</t>
  </si>
  <si>
    <t>Capital IQ Consensus Estimates 2022-2024; % of sales thereafter</t>
  </si>
  <si>
    <t>Perpituity Growth Rate</t>
  </si>
  <si>
    <t>Revenue Segments</t>
  </si>
  <si>
    <t>Sensitivity Analysis</t>
  </si>
  <si>
    <t>2026 EBIT</t>
  </si>
  <si>
    <t>EBIT Multiple</t>
  </si>
  <si>
    <t>Reflects history of negative growth rates and higher volitility in this segment</t>
  </si>
  <si>
    <t>Q3 2022 10-Q</t>
  </si>
  <si>
    <t>Unlevered Free Cash Flows</t>
  </si>
  <si>
    <t>Days receivables outstanding</t>
  </si>
  <si>
    <t>Days inventory outstanding</t>
  </si>
  <si>
    <t>Other current liabilities</t>
  </si>
  <si>
    <t>ST receivables</t>
  </si>
  <si>
    <t>Basic Shares outstanding (millions)</t>
  </si>
  <si>
    <t>In millions of $, except share data</t>
  </si>
  <si>
    <t>2022-2024 growth rates from FactSet consensus total revenue estimates, found median of historicals for 2025 and decreased revenue growth by 1% in 2026</t>
  </si>
  <si>
    <t>25th percentile EV / EBIT multiple</t>
  </si>
  <si>
    <t>Based on ideal industry capital structure</t>
  </si>
  <si>
    <t>Changes in provision for risks and charges</t>
  </si>
  <si>
    <t>Cash flows from investing activities</t>
  </si>
  <si>
    <t>Cash flows from financing activites</t>
  </si>
  <si>
    <t>Less: Depreciation and depletion</t>
  </si>
  <si>
    <t>Total working capital assets</t>
  </si>
  <si>
    <t>Total working capital liabilities</t>
  </si>
  <si>
    <t>Days payables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</si>
</sst>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A;[Red]0\A"/>
    <numFmt numFmtId="165" formatCode="0\P_);\(0\P\)"/>
    <numFmt numFmtId="166" formatCode="_(#,##0.00%_);\(#,##0.00%\);_(&quot;–&quot;_)_%;_(@_)_%"/>
    <numFmt numFmtId="167" formatCode="0.0%"/>
    <numFmt numFmtId="168" formatCode="#,##0.0"/>
    <numFmt numFmtId="169" formatCode="\-"/>
    <numFmt numFmtId="170" formatCode="_(* #,##0_);_(* \(#,##0\);_(* &quot;—&quot;_);_(@_)"/>
    <numFmt numFmtId="171" formatCode="_([$$-409]* #,##0.00_);_([$$-409]* \(#,##0.00\);_([$$-409]* &quot;-&quot;??_);_(@_)"/>
    <numFmt numFmtId="172" formatCode="[$$-409]#,##0.00_);\([$$-409]#,##0.00\)"/>
    <numFmt numFmtId="173" formatCode="&quot;$&quot;#,##0.0_);\(&quot;$&quot;#,##0.0\);&quot;$&quot;#,##0.0_);@_)"/>
    <numFmt numFmtId="174" formatCode="0_);\(0\)"/>
    <numFmt numFmtId="175" formatCode="&quot;$&quot;#,##0.00"/>
    <numFmt numFmtId="176" formatCode="#,##0.000_);\(#,##0.000\)"/>
    <numFmt numFmtId="177" formatCode="&quot;WACC:&quot;\ 0.00%"/>
    <numFmt numFmtId="178" formatCode="&quot;Present value of UFCF on&quot;\ mm/dd/yyyy"/>
    <numFmt numFmtId="179" formatCode="&quot;Present Value of UFCF on&quot;\ m/d/yyyy"/>
    <numFmt numFmtId="180" formatCode="&quot;Year&quot;\ 0"/>
    <numFmt numFmtId="181" formatCode="&quot;WACC:&quot;\ 0.0%"/>
    <numFmt numFmtId="182" formatCode="0.00\x"/>
    <numFmt numFmtId="183" formatCode="###,###,##0.00\x"/>
    <numFmt numFmtId="184" formatCode="0.0000%"/>
    <numFmt numFmtId="185" formatCode="0.00000%"/>
  </numFmts>
  <fonts count="2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3366"/>
      <name val="Arial"/>
      <family val="2"/>
    </font>
    <font>
      <sz val="10"/>
      <color rgb="FFFF0000"/>
      <name val="Arial"/>
      <family val="2"/>
    </font>
    <font>
      <sz val="10"/>
      <color rgb="FF646464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1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1"/>
      <color rgb="FF0432FF"/>
      <name val="Garamond"/>
      <family val="1"/>
    </font>
    <font>
      <sz val="11"/>
      <color theme="0"/>
      <name val="Garamond"/>
      <family val="1"/>
    </font>
    <font>
      <i/>
      <sz val="11"/>
      <color theme="0"/>
      <name val="Garamond"/>
      <family val="1"/>
    </font>
    <font>
      <sz val="11"/>
      <color rgb="FF00B050"/>
      <name val="Garamond"/>
      <family val="1"/>
    </font>
    <font>
      <b/>
      <sz val="11"/>
      <color rgb="FF00B050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</font>
    <font>
      <u/>
      <sz val="11"/>
      <color theme="1"/>
      <name val="Garamond"/>
      <family val="1"/>
    </font>
    <font>
      <b/>
      <u val="singleAccounting"/>
      <sz val="11"/>
      <color theme="0"/>
      <name val="Garamond"/>
      <family val="1"/>
    </font>
    <font>
      <b/>
      <u val="singleAccounting"/>
      <sz val="11"/>
      <color theme="1"/>
      <name val="Garamond"/>
      <family val="1"/>
    </font>
    <font>
      <b/>
      <u/>
      <sz val="11"/>
      <color theme="1"/>
      <name val="Garamond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5" tint="0.79998168889431442"/>
        <bgColor indexed="65"/>
      </patternFill>
    </fill>
  </fills>
  <borders count="84">
    <border>
      <left/>
      <right/>
      <top/>
      <bottom/>
      <diagonal/>
    </border>
    <border>
      <left/>
      <right style="thin">
        <color rgb="FF002060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2060"/>
      </left>
      <right/>
      <top style="thin">
        <color indexed="64"/>
      </top>
      <bottom style="medium">
        <color rgb="FF002060"/>
      </bottom>
      <diagonal/>
    </border>
    <border>
      <left/>
      <right/>
      <top style="thin">
        <color indexed="64"/>
      </top>
      <bottom style="medium">
        <color rgb="FF002060"/>
      </bottom>
      <diagonal/>
    </border>
    <border>
      <left/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/>
      <right style="thin">
        <color rgb="FF002060"/>
      </right>
      <top style="thin">
        <color indexed="64"/>
      </top>
      <bottom style="medium">
        <color rgb="FF00206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rgb="FF002060"/>
      </left>
      <right/>
      <top style="hair">
        <color rgb="FF002060"/>
      </top>
      <bottom style="medium">
        <color rgb="FF002060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medium">
        <color rgb="FF002060"/>
      </right>
      <top/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002060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/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rgb="FF002060"/>
      </left>
      <right/>
      <top style="medium">
        <color indexed="64"/>
      </top>
      <bottom/>
      <diagonal/>
    </border>
    <border>
      <left/>
      <right style="medium">
        <color rgb="FF002060"/>
      </right>
      <top style="medium">
        <color indexed="64"/>
      </top>
      <bottom/>
      <diagonal/>
    </border>
    <border>
      <left style="medium">
        <color rgb="FF002060"/>
      </left>
      <right/>
      <top style="hair">
        <color auto="1"/>
      </top>
      <bottom/>
      <diagonal/>
    </border>
    <border>
      <left/>
      <right style="medium">
        <color rgb="FF002060"/>
      </right>
      <top style="hair">
        <color auto="1"/>
      </top>
      <bottom/>
      <diagonal/>
    </border>
    <border>
      <left style="medium">
        <color rgb="FF002060"/>
      </left>
      <right/>
      <top/>
      <bottom style="hair">
        <color auto="1"/>
      </bottom>
      <diagonal/>
    </border>
    <border>
      <left/>
      <right style="medium">
        <color rgb="FF002060"/>
      </right>
      <top/>
      <bottom style="hair">
        <color auto="1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7" borderId="0" applyNumberFormat="0" applyBorder="0" applyAlignment="0" applyProtection="0"/>
  </cellStyleXfs>
  <cellXfs count="447">
    <xf numFmtId="0" fontId="0" fillId="0" borderId="0" xfId="0"/>
    <xf numFmtId="0" fontId="1" fillId="0" borderId="0" xfId="0" applyFont="1"/>
    <xf numFmtId="37" fontId="0" fillId="0" borderId="0" xfId="0" applyNumberFormat="1"/>
    <xf numFmtId="3" fontId="0" fillId="0" borderId="0" xfId="0" applyNumberFormat="1"/>
    <xf numFmtId="3" fontId="0" fillId="3" borderId="0" xfId="0" applyNumberFormat="1" applyFill="1" applyAlignment="1">
      <alignment horizontal="right"/>
    </xf>
    <xf numFmtId="0" fontId="3" fillId="0" borderId="0" xfId="0" applyFont="1"/>
    <xf numFmtId="0" fontId="0" fillId="0" borderId="13" xfId="0" applyBorder="1"/>
    <xf numFmtId="0" fontId="0" fillId="0" borderId="14" xfId="0" applyBorder="1"/>
    <xf numFmtId="0" fontId="3" fillId="6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indent="3"/>
    </xf>
    <xf numFmtId="3" fontId="4" fillId="3" borderId="0" xfId="0" applyNumberFormat="1" applyFont="1" applyFill="1" applyAlignment="1">
      <alignment horizontal="right"/>
    </xf>
    <xf numFmtId="0" fontId="0" fillId="0" borderId="0" xfId="0" applyAlignment="1">
      <alignment horizontal="left" indent="4"/>
    </xf>
    <xf numFmtId="3" fontId="0" fillId="0" borderId="0" xfId="0" applyNumberFormat="1" applyAlignment="1">
      <alignment horizontal="right"/>
    </xf>
    <xf numFmtId="0" fontId="4" fillId="3" borderId="0" xfId="0" applyFont="1" applyFill="1" applyAlignment="1">
      <alignment horizontal="left" indent="6"/>
    </xf>
    <xf numFmtId="0" fontId="0" fillId="0" borderId="0" xfId="0" applyAlignment="1">
      <alignment horizontal="left" indent="7"/>
    </xf>
    <xf numFmtId="0" fontId="0" fillId="0" borderId="0" xfId="0" applyAlignment="1">
      <alignment horizontal="left"/>
    </xf>
    <xf numFmtId="0" fontId="0" fillId="3" borderId="0" xfId="0" applyFill="1" applyAlignment="1">
      <alignment horizontal="left" indent="7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indent="4"/>
    </xf>
    <xf numFmtId="3" fontId="5" fillId="3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3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 indent="6"/>
    </xf>
    <xf numFmtId="0" fontId="0" fillId="3" borderId="0" xfId="0" applyFill="1" applyAlignment="1">
      <alignment horizontal="left" indent="1"/>
    </xf>
    <xf numFmtId="0" fontId="0" fillId="0" borderId="0" xfId="0" applyAlignment="1">
      <alignment horizontal="left" indent="1"/>
    </xf>
    <xf numFmtId="4" fontId="4" fillId="0" borderId="0" xfId="0" applyNumberFormat="1" applyFont="1" applyAlignment="1">
      <alignment horizontal="right"/>
    </xf>
    <xf numFmtId="4" fontId="0" fillId="3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4" fontId="4" fillId="3" borderId="0" xfId="0" applyNumberFormat="1" applyFont="1" applyFill="1" applyAlignment="1">
      <alignment horizontal="right"/>
    </xf>
    <xf numFmtId="168" fontId="0" fillId="0" borderId="0" xfId="0" applyNumberFormat="1" applyAlignment="1">
      <alignment horizontal="right"/>
    </xf>
    <xf numFmtId="0" fontId="6" fillId="0" borderId="0" xfId="0" applyFont="1" applyAlignment="1">
      <alignment horizontal="left"/>
    </xf>
    <xf numFmtId="168" fontId="0" fillId="3" borderId="0" xfId="0" applyNumberFormat="1" applyFill="1" applyAlignment="1">
      <alignment horizontal="right"/>
    </xf>
    <xf numFmtId="168" fontId="5" fillId="3" borderId="0" xfId="0" applyNumberFormat="1" applyFont="1" applyFill="1" applyAlignment="1">
      <alignment horizontal="right"/>
    </xf>
    <xf numFmtId="168" fontId="4" fillId="0" borderId="0" xfId="0" applyNumberFormat="1" applyFont="1" applyAlignment="1">
      <alignment horizontal="right"/>
    </xf>
    <xf numFmtId="168" fontId="4" fillId="3" borderId="0" xfId="0" applyNumberFormat="1" applyFont="1" applyFill="1" applyAlignment="1">
      <alignment horizontal="right"/>
    </xf>
    <xf numFmtId="168" fontId="5" fillId="0" borderId="0" xfId="0" applyNumberFormat="1" applyFont="1" applyAlignment="1">
      <alignment horizontal="right"/>
    </xf>
    <xf numFmtId="37" fontId="7" fillId="0" borderId="0" xfId="0" applyNumberFormat="1" applyFont="1"/>
    <xf numFmtId="0" fontId="3" fillId="0" borderId="0" xfId="2" applyFont="1"/>
    <xf numFmtId="0" fontId="8" fillId="0" borderId="0" xfId="2"/>
    <xf numFmtId="0" fontId="3" fillId="6" borderId="0" xfId="2" applyFont="1" applyFill="1" applyAlignment="1">
      <alignment horizontal="left"/>
    </xf>
    <xf numFmtId="0" fontId="8" fillId="3" borderId="0" xfId="2" applyFill="1" applyAlignment="1">
      <alignment horizontal="left"/>
    </xf>
    <xf numFmtId="168" fontId="8" fillId="3" borderId="0" xfId="2" applyNumberFormat="1" applyFill="1" applyAlignment="1">
      <alignment horizontal="right"/>
    </xf>
    <xf numFmtId="0" fontId="8" fillId="0" borderId="0" xfId="2" applyAlignment="1">
      <alignment horizontal="left"/>
    </xf>
    <xf numFmtId="168" fontId="8" fillId="0" borderId="0" xfId="2" applyNumberFormat="1" applyAlignment="1">
      <alignment horizontal="right"/>
    </xf>
    <xf numFmtId="0" fontId="4" fillId="0" borderId="0" xfId="2" applyFont="1" applyAlignment="1">
      <alignment horizontal="left"/>
    </xf>
    <xf numFmtId="168" fontId="4" fillId="0" borderId="0" xfId="2" applyNumberFormat="1" applyFont="1" applyAlignment="1">
      <alignment horizontal="right"/>
    </xf>
    <xf numFmtId="0" fontId="8" fillId="3" borderId="0" xfId="2" applyFill="1" applyAlignment="1">
      <alignment horizontal="left" indent="1"/>
    </xf>
    <xf numFmtId="0" fontId="8" fillId="0" borderId="0" xfId="2" applyAlignment="1">
      <alignment horizontal="left" indent="1"/>
    </xf>
    <xf numFmtId="43" fontId="12" fillId="0" borderId="5" xfId="0" applyNumberFormat="1" applyFont="1" applyBorder="1" applyAlignment="1">
      <alignment horizontal="left"/>
    </xf>
    <xf numFmtId="183" fontId="12" fillId="0" borderId="0" xfId="0" applyNumberFormat="1" applyFont="1"/>
    <xf numFmtId="183" fontId="12" fillId="0" borderId="6" xfId="0" applyNumberFormat="1" applyFont="1" applyBorder="1"/>
    <xf numFmtId="43" fontId="12" fillId="0" borderId="7" xfId="0" applyNumberFormat="1" applyFont="1" applyBorder="1" applyAlignment="1">
      <alignment horizontal="left"/>
    </xf>
    <xf numFmtId="183" fontId="12" fillId="0" borderId="8" xfId="0" applyNumberFormat="1" applyFont="1" applyBorder="1"/>
    <xf numFmtId="183" fontId="12" fillId="0" borderId="9" xfId="0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8" xfId="0" applyFont="1" applyBorder="1" applyAlignment="1">
      <alignment horizontal="left" indent="1"/>
    </xf>
    <xf numFmtId="0" fontId="14" fillId="0" borderId="8" xfId="0" applyFont="1" applyBorder="1"/>
    <xf numFmtId="0" fontId="12" fillId="0" borderId="8" xfId="0" applyFont="1" applyBorder="1"/>
    <xf numFmtId="0" fontId="14" fillId="0" borderId="0" xfId="0" applyFont="1" applyAlignment="1">
      <alignment horizontal="left"/>
    </xf>
    <xf numFmtId="166" fontId="15" fillId="0" borderId="0" xfId="0" applyNumberFormat="1" applyFont="1"/>
    <xf numFmtId="0" fontId="16" fillId="2" borderId="2" xfId="0" applyFont="1" applyFill="1" applyBorder="1"/>
    <xf numFmtId="164" fontId="11" fillId="2" borderId="3" xfId="0" applyNumberFormat="1" applyFont="1" applyFill="1" applyBorder="1"/>
    <xf numFmtId="164" fontId="11" fillId="2" borderId="11" xfId="0" applyNumberFormat="1" applyFont="1" applyFill="1" applyBorder="1"/>
    <xf numFmtId="165" fontId="11" fillId="2" borderId="3" xfId="0" applyNumberFormat="1" applyFont="1" applyFill="1" applyBorder="1"/>
    <xf numFmtId="165" fontId="11" fillId="2" borderId="4" xfId="0" applyNumberFormat="1" applyFont="1" applyFill="1" applyBorder="1"/>
    <xf numFmtId="0" fontId="17" fillId="2" borderId="5" xfId="0" applyFont="1" applyFill="1" applyBorder="1"/>
    <xf numFmtId="14" fontId="16" fillId="2" borderId="0" xfId="0" applyNumberFormat="1" applyFont="1" applyFill="1"/>
    <xf numFmtId="14" fontId="16" fillId="2" borderId="1" xfId="0" applyNumberFormat="1" applyFont="1" applyFill="1" applyBorder="1"/>
    <xf numFmtId="14" fontId="16" fillId="2" borderId="6" xfId="0" applyNumberFormat="1" applyFont="1" applyFill="1" applyBorder="1"/>
    <xf numFmtId="0" fontId="12" fillId="0" borderId="2" xfId="0" applyFont="1" applyBorder="1"/>
    <xf numFmtId="0" fontId="12" fillId="0" borderId="3" xfId="0" applyFont="1" applyBorder="1"/>
    <xf numFmtId="0" fontId="12" fillId="0" borderId="11" xfId="0" applyFont="1" applyBorder="1"/>
    <xf numFmtId="0" fontId="12" fillId="0" borderId="4" xfId="0" applyFont="1" applyBorder="1"/>
    <xf numFmtId="0" fontId="13" fillId="4" borderId="23" xfId="0" applyFont="1" applyFill="1" applyBorder="1"/>
    <xf numFmtId="0" fontId="13" fillId="4" borderId="24" xfId="0" applyFont="1" applyFill="1" applyBorder="1"/>
    <xf numFmtId="0" fontId="12" fillId="4" borderId="24" xfId="0" applyFont="1" applyFill="1" applyBorder="1"/>
    <xf numFmtId="0" fontId="12" fillId="4" borderId="25" xfId="0" applyFont="1" applyFill="1" applyBorder="1"/>
    <xf numFmtId="166" fontId="12" fillId="4" borderId="24" xfId="0" applyNumberFormat="1" applyFont="1" applyFill="1" applyBorder="1"/>
    <xf numFmtId="166" fontId="12" fillId="4" borderId="26" xfId="0" applyNumberFormat="1" applyFont="1" applyFill="1" applyBorder="1"/>
    <xf numFmtId="0" fontId="13" fillId="4" borderId="5" xfId="0" applyFont="1" applyFill="1" applyBorder="1"/>
    <xf numFmtId="0" fontId="13" fillId="4" borderId="0" xfId="0" applyFont="1" applyFill="1"/>
    <xf numFmtId="0" fontId="12" fillId="4" borderId="0" xfId="0" applyFont="1" applyFill="1"/>
    <xf numFmtId="0" fontId="12" fillId="4" borderId="1" xfId="0" applyFont="1" applyFill="1" applyBorder="1"/>
    <xf numFmtId="166" fontId="12" fillId="4" borderId="0" xfId="0" applyNumberFormat="1" applyFont="1" applyFill="1"/>
    <xf numFmtId="166" fontId="12" fillId="4" borderId="6" xfId="0" applyNumberFormat="1" applyFont="1" applyFill="1" applyBorder="1"/>
    <xf numFmtId="173" fontId="13" fillId="4" borderId="5" xfId="0" applyNumberFormat="1" applyFont="1" applyFill="1" applyBorder="1"/>
    <xf numFmtId="0" fontId="13" fillId="4" borderId="19" xfId="0" applyFont="1" applyFill="1" applyBorder="1"/>
    <xf numFmtId="0" fontId="13" fillId="4" borderId="20" xfId="0" applyFont="1" applyFill="1" applyBorder="1"/>
    <xf numFmtId="0" fontId="12" fillId="4" borderId="20" xfId="0" applyFont="1" applyFill="1" applyBorder="1"/>
    <xf numFmtId="0" fontId="12" fillId="4" borderId="21" xfId="0" applyFont="1" applyFill="1" applyBorder="1"/>
    <xf numFmtId="166" fontId="12" fillId="4" borderId="20" xfId="0" applyNumberFormat="1" applyFont="1" applyFill="1" applyBorder="1"/>
    <xf numFmtId="166" fontId="12" fillId="4" borderId="22" xfId="0" applyNumberFormat="1" applyFont="1" applyFill="1" applyBorder="1"/>
    <xf numFmtId="0" fontId="12" fillId="0" borderId="5" xfId="0" applyFont="1" applyBorder="1"/>
    <xf numFmtId="0" fontId="12" fillId="0" borderId="1" xfId="0" applyFont="1" applyBorder="1"/>
    <xf numFmtId="0" fontId="12" fillId="0" borderId="6" xfId="0" applyFont="1" applyBorder="1"/>
    <xf numFmtId="0" fontId="13" fillId="0" borderId="5" xfId="0" applyFont="1" applyBorder="1"/>
    <xf numFmtId="0" fontId="12" fillId="0" borderId="5" xfId="0" applyFont="1" applyBorder="1" applyAlignment="1">
      <alignment horizontal="left" indent="1"/>
    </xf>
    <xf numFmtId="0" fontId="12" fillId="0" borderId="0" xfId="0" applyFont="1" applyAlignment="1">
      <alignment horizontal="left" indent="1"/>
    </xf>
    <xf numFmtId="166" fontId="12" fillId="0" borderId="0" xfId="0" applyNumberFormat="1" applyFont="1"/>
    <xf numFmtId="166" fontId="12" fillId="0" borderId="6" xfId="0" applyNumberFormat="1" applyFont="1" applyBorder="1"/>
    <xf numFmtId="166" fontId="18" fillId="0" borderId="0" xfId="0" applyNumberFormat="1" applyFont="1"/>
    <xf numFmtId="166" fontId="18" fillId="0" borderId="1" xfId="0" applyNumberFormat="1" applyFont="1" applyBorder="1"/>
    <xf numFmtId="39" fontId="12" fillId="0" borderId="0" xfId="0" applyNumberFormat="1" applyFont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/>
    <xf numFmtId="10" fontId="12" fillId="0" borderId="0" xfId="1" applyNumberFormat="1" applyFont="1"/>
    <xf numFmtId="39" fontId="12" fillId="0" borderId="0" xfId="1" applyNumberFormat="1" applyFont="1"/>
    <xf numFmtId="166" fontId="12" fillId="0" borderId="1" xfId="0" applyNumberFormat="1" applyFont="1" applyBorder="1"/>
    <xf numFmtId="0" fontId="12" fillId="0" borderId="7" xfId="0" applyFont="1" applyBorder="1" applyAlignment="1">
      <alignment horizontal="left" indent="1"/>
    </xf>
    <xf numFmtId="0" fontId="12" fillId="0" borderId="10" xfId="0" applyFont="1" applyBorder="1"/>
    <xf numFmtId="166" fontId="12" fillId="0" borderId="8" xfId="0" applyNumberFormat="1" applyFont="1" applyBorder="1"/>
    <xf numFmtId="166" fontId="12" fillId="0" borderId="9" xfId="0" applyNumberFormat="1" applyFont="1" applyBorder="1"/>
    <xf numFmtId="0" fontId="12" fillId="4" borderId="12" xfId="0" applyFont="1" applyFill="1" applyBorder="1" applyAlignment="1">
      <alignment horizontal="center" vertical="center"/>
    </xf>
    <xf numFmtId="0" fontId="16" fillId="2" borderId="3" xfId="0" applyFont="1" applyFill="1" applyBorder="1"/>
    <xf numFmtId="0" fontId="17" fillId="2" borderId="0" xfId="0" applyFont="1" applyFill="1"/>
    <xf numFmtId="37" fontId="18" fillId="0" borderId="3" xfId="0" applyNumberFormat="1" applyFont="1" applyBorder="1"/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4" fillId="0" borderId="5" xfId="0" applyFont="1" applyBorder="1"/>
    <xf numFmtId="166" fontId="12" fillId="0" borderId="0" xfId="1" applyNumberFormat="1" applyFont="1" applyBorder="1"/>
    <xf numFmtId="166" fontId="12" fillId="0" borderId="6" xfId="1" applyNumberFormat="1" applyFont="1" applyBorder="1"/>
    <xf numFmtId="37" fontId="20" fillId="0" borderId="0" xfId="0" applyNumberFormat="1" applyFont="1"/>
    <xf numFmtId="37" fontId="12" fillId="0" borderId="0" xfId="0" applyNumberFormat="1" applyFont="1"/>
    <xf numFmtId="37" fontId="12" fillId="0" borderId="6" xfId="0" applyNumberFormat="1" applyFont="1" applyBorder="1"/>
    <xf numFmtId="166" fontId="18" fillId="0" borderId="6" xfId="0" applyNumberFormat="1" applyFont="1" applyBorder="1"/>
    <xf numFmtId="37" fontId="15" fillId="0" borderId="0" xfId="0" applyNumberFormat="1" applyFont="1"/>
    <xf numFmtId="0" fontId="14" fillId="0" borderId="7" xfId="0" applyFont="1" applyBorder="1"/>
    <xf numFmtId="0" fontId="21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71" fontId="12" fillId="0" borderId="0" xfId="0" applyNumberFormat="1" applyFont="1"/>
    <xf numFmtId="172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/>
    <xf numFmtId="0" fontId="13" fillId="0" borderId="7" xfId="0" applyFont="1" applyBorder="1"/>
    <xf numFmtId="166" fontId="18" fillId="0" borderId="8" xfId="0" applyNumberFormat="1" applyFont="1" applyBorder="1"/>
    <xf numFmtId="166" fontId="18" fillId="0" borderId="9" xfId="0" applyNumberFormat="1" applyFont="1" applyBorder="1"/>
    <xf numFmtId="37" fontId="18" fillId="0" borderId="11" xfId="0" applyNumberFormat="1" applyFont="1" applyBorder="1"/>
    <xf numFmtId="37" fontId="12" fillId="0" borderId="3" xfId="0" applyNumberFormat="1" applyFont="1" applyBorder="1"/>
    <xf numFmtId="37" fontId="12" fillId="0" borderId="4" xfId="0" applyNumberFormat="1" applyFont="1" applyBorder="1"/>
    <xf numFmtId="0" fontId="12" fillId="0" borderId="19" xfId="0" applyFont="1" applyBorder="1"/>
    <xf numFmtId="37" fontId="18" fillId="0" borderId="20" xfId="0" applyNumberFormat="1" applyFont="1" applyBorder="1"/>
    <xf numFmtId="37" fontId="18" fillId="0" borderId="21" xfId="0" applyNumberFormat="1" applyFont="1" applyBorder="1"/>
    <xf numFmtId="37" fontId="12" fillId="0" borderId="20" xfId="0" applyNumberFormat="1" applyFont="1" applyBorder="1"/>
    <xf numFmtId="37" fontId="12" fillId="0" borderId="22" xfId="0" applyNumberFormat="1" applyFont="1" applyBorder="1"/>
    <xf numFmtId="37" fontId="13" fillId="0" borderId="0" xfId="0" applyNumberFormat="1" applyFont="1"/>
    <xf numFmtId="37" fontId="13" fillId="0" borderId="1" xfId="0" applyNumberFormat="1" applyFont="1" applyBorder="1"/>
    <xf numFmtId="37" fontId="13" fillId="0" borderId="6" xfId="0" applyNumberFormat="1" applyFont="1" applyBorder="1"/>
    <xf numFmtId="37" fontId="18" fillId="0" borderId="0" xfId="0" applyNumberFormat="1" applyFont="1"/>
    <xf numFmtId="37" fontId="18" fillId="0" borderId="1" xfId="0" applyNumberFormat="1" applyFont="1" applyBorder="1"/>
    <xf numFmtId="167" fontId="12" fillId="0" borderId="0" xfId="1" applyNumberFormat="1" applyFont="1"/>
    <xf numFmtId="9" fontId="12" fillId="0" borderId="0" xfId="1" applyFont="1"/>
    <xf numFmtId="0" fontId="13" fillId="0" borderId="15" xfId="0" applyFont="1" applyBorder="1"/>
    <xf numFmtId="37" fontId="13" fillId="0" borderId="16" xfId="0" applyNumberFormat="1" applyFont="1" applyBorder="1"/>
    <xf numFmtId="37" fontId="13" fillId="0" borderId="17" xfId="0" applyNumberFormat="1" applyFont="1" applyBorder="1"/>
    <xf numFmtId="37" fontId="13" fillId="0" borderId="18" xfId="0" applyNumberFormat="1" applyFont="1" applyBorder="1"/>
    <xf numFmtId="9" fontId="13" fillId="0" borderId="0" xfId="1" applyFont="1" applyFill="1" applyBorder="1"/>
    <xf numFmtId="14" fontId="12" fillId="0" borderId="0" xfId="0" applyNumberFormat="1" applyFont="1"/>
    <xf numFmtId="3" fontId="18" fillId="0" borderId="0" xfId="0" applyNumberFormat="1" applyFont="1"/>
    <xf numFmtId="3" fontId="18" fillId="0" borderId="1" xfId="0" applyNumberFormat="1" applyFont="1" applyBorder="1"/>
    <xf numFmtId="0" fontId="15" fillId="0" borderId="1" xfId="0" applyFont="1" applyBorder="1"/>
    <xf numFmtId="1" fontId="12" fillId="0" borderId="0" xfId="0" applyNumberFormat="1" applyFont="1"/>
    <xf numFmtId="1" fontId="12" fillId="0" borderId="6" xfId="0" applyNumberFormat="1" applyFont="1" applyBorder="1"/>
    <xf numFmtId="37" fontId="13" fillId="0" borderId="8" xfId="0" applyNumberFormat="1" applyFont="1" applyBorder="1"/>
    <xf numFmtId="37" fontId="13" fillId="0" borderId="10" xfId="0" applyNumberFormat="1" applyFont="1" applyBorder="1"/>
    <xf numFmtId="37" fontId="13" fillId="0" borderId="9" xfId="0" applyNumberFormat="1" applyFont="1" applyBorder="1"/>
    <xf numFmtId="0" fontId="16" fillId="0" borderId="8" xfId="0" applyFont="1" applyBorder="1"/>
    <xf numFmtId="0" fontId="16" fillId="0" borderId="0" xfId="0" applyFont="1"/>
    <xf numFmtId="14" fontId="17" fillId="2" borderId="6" xfId="0" applyNumberFormat="1" applyFont="1" applyFill="1" applyBorder="1"/>
    <xf numFmtId="0" fontId="13" fillId="0" borderId="2" xfId="0" applyFont="1" applyBorder="1"/>
    <xf numFmtId="3" fontId="18" fillId="0" borderId="0" xfId="0" applyNumberFormat="1" applyFont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12" fillId="5" borderId="5" xfId="0" applyFont="1" applyFill="1" applyBorder="1" applyAlignment="1">
      <alignment horizontal="left" indent="1"/>
    </xf>
    <xf numFmtId="0" fontId="12" fillId="5" borderId="19" xfId="0" applyFont="1" applyFill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0" fontId="13" fillId="0" borderId="15" xfId="0" applyFont="1" applyBorder="1" applyAlignment="1">
      <alignment horizontal="left"/>
    </xf>
    <xf numFmtId="3" fontId="13" fillId="0" borderId="16" xfId="0" applyNumberFormat="1" applyFont="1" applyBorder="1" applyAlignment="1">
      <alignment horizontal="right"/>
    </xf>
    <xf numFmtId="3" fontId="13" fillId="0" borderId="17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37" fontId="12" fillId="0" borderId="0" xfId="0" applyNumberFormat="1" applyFont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37" fontId="13" fillId="0" borderId="0" xfId="0" applyNumberFormat="1" applyFont="1" applyAlignment="1">
      <alignment horizontal="right"/>
    </xf>
    <xf numFmtId="37" fontId="13" fillId="0" borderId="1" xfId="0" applyNumberFormat="1" applyFont="1" applyBorder="1" applyAlignment="1">
      <alignment horizontal="right"/>
    </xf>
    <xf numFmtId="170" fontId="18" fillId="0" borderId="0" xfId="0" applyNumberFormat="1" applyFont="1" applyAlignment="1">
      <alignment horizontal="right"/>
    </xf>
    <xf numFmtId="41" fontId="18" fillId="0" borderId="0" xfId="0" applyNumberFormat="1" applyFont="1" applyAlignment="1">
      <alignment horizontal="right"/>
    </xf>
    <xf numFmtId="169" fontId="12" fillId="0" borderId="0" xfId="0" applyNumberFormat="1" applyFont="1" applyAlignment="1">
      <alignment horizontal="right"/>
    </xf>
    <xf numFmtId="37" fontId="18" fillId="0" borderId="0" xfId="0" applyNumberFormat="1" applyFont="1" applyAlignment="1">
      <alignment horizontal="right"/>
    </xf>
    <xf numFmtId="37" fontId="18" fillId="0" borderId="1" xfId="0" applyNumberFormat="1" applyFont="1" applyBorder="1" applyAlignment="1">
      <alignment horizontal="right"/>
    </xf>
    <xf numFmtId="0" fontId="13" fillId="0" borderId="23" xfId="0" applyFont="1" applyBorder="1"/>
    <xf numFmtId="37" fontId="13" fillId="0" borderId="24" xfId="0" applyNumberFormat="1" applyFont="1" applyBorder="1" applyAlignment="1">
      <alignment horizontal="right"/>
    </xf>
    <xf numFmtId="37" fontId="13" fillId="0" borderId="25" xfId="0" applyNumberFormat="1" applyFont="1" applyBorder="1" applyAlignment="1">
      <alignment horizontal="right"/>
    </xf>
    <xf numFmtId="37" fontId="13" fillId="0" borderId="24" xfId="0" applyNumberFormat="1" applyFont="1" applyBorder="1"/>
    <xf numFmtId="37" fontId="13" fillId="0" borderId="26" xfId="0" applyNumberFormat="1" applyFont="1" applyBorder="1"/>
    <xf numFmtId="0" fontId="12" fillId="0" borderId="19" xfId="0" applyFont="1" applyBorder="1" applyAlignment="1">
      <alignment horizontal="left" indent="1"/>
    </xf>
    <xf numFmtId="0" fontId="13" fillId="0" borderId="27" xfId="0" applyFont="1" applyBorder="1"/>
    <xf numFmtId="3" fontId="13" fillId="0" borderId="28" xfId="0" applyNumberFormat="1" applyFont="1" applyBorder="1" applyAlignment="1">
      <alignment horizontal="right"/>
    </xf>
    <xf numFmtId="3" fontId="13" fillId="0" borderId="29" xfId="0" applyNumberFormat="1" applyFont="1" applyBorder="1" applyAlignment="1">
      <alignment horizontal="right"/>
    </xf>
    <xf numFmtId="3" fontId="13" fillId="0" borderId="30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right"/>
    </xf>
    <xf numFmtId="3" fontId="14" fillId="0" borderId="8" xfId="0" applyNumberFormat="1" applyFont="1" applyBorder="1"/>
    <xf numFmtId="3" fontId="14" fillId="0" borderId="10" xfId="0" applyNumberFormat="1" applyFont="1" applyBorder="1"/>
    <xf numFmtId="37" fontId="14" fillId="0" borderId="8" xfId="0" applyNumberFormat="1" applyFont="1" applyBorder="1"/>
    <xf numFmtId="37" fontId="14" fillId="0" borderId="9" xfId="0" applyNumberFormat="1" applyFont="1" applyBorder="1"/>
    <xf numFmtId="170" fontId="12" fillId="0" borderId="0" xfId="0" applyNumberFormat="1" applyFont="1"/>
    <xf numFmtId="170" fontId="12" fillId="0" borderId="6" xfId="0" applyNumberFormat="1" applyFont="1" applyBorder="1"/>
    <xf numFmtId="2" fontId="12" fillId="0" borderId="5" xfId="0" applyNumberFormat="1" applyFont="1" applyBorder="1" applyAlignment="1">
      <alignment horizontal="left" indent="1"/>
    </xf>
    <xf numFmtId="37" fontId="12" fillId="0" borderId="1" xfId="0" applyNumberFormat="1" applyFont="1" applyBorder="1"/>
    <xf numFmtId="0" fontId="12" fillId="0" borderId="7" xfId="0" applyFont="1" applyBorder="1"/>
    <xf numFmtId="174" fontId="14" fillId="0" borderId="19" xfId="0" applyNumberFormat="1" applyFont="1" applyBorder="1" applyAlignment="1">
      <alignment horizontal="left" indent="1"/>
    </xf>
    <xf numFmtId="10" fontId="12" fillId="0" borderId="20" xfId="1" applyNumberFormat="1" applyFont="1" applyBorder="1"/>
    <xf numFmtId="10" fontId="12" fillId="0" borderId="21" xfId="1" applyNumberFormat="1" applyFont="1" applyBorder="1"/>
    <xf numFmtId="10" fontId="12" fillId="0" borderId="20" xfId="0" applyNumberFormat="1" applyFont="1" applyBorder="1"/>
    <xf numFmtId="10" fontId="12" fillId="0" borderId="22" xfId="0" applyNumberFormat="1" applyFont="1" applyBorder="1"/>
    <xf numFmtId="1" fontId="20" fillId="0" borderId="0" xfId="0" applyNumberFormat="1" applyFont="1"/>
    <xf numFmtId="1" fontId="20" fillId="0" borderId="1" xfId="0" applyNumberFormat="1" applyFont="1" applyBorder="1"/>
    <xf numFmtId="3" fontId="20" fillId="0" borderId="0" xfId="0" applyNumberFormat="1" applyFont="1"/>
    <xf numFmtId="3" fontId="20" fillId="0" borderId="6" xfId="0" applyNumberFormat="1" applyFont="1" applyBorder="1"/>
    <xf numFmtId="174" fontId="20" fillId="0" borderId="0" xfId="0" applyNumberFormat="1" applyFont="1"/>
    <xf numFmtId="174" fontId="20" fillId="0" borderId="1" xfId="0" applyNumberFormat="1" applyFont="1" applyBorder="1"/>
    <xf numFmtId="174" fontId="20" fillId="0" borderId="6" xfId="0" applyNumberFormat="1" applyFont="1" applyBorder="1"/>
    <xf numFmtId="3" fontId="12" fillId="0" borderId="0" xfId="0" applyNumberFormat="1" applyFont="1"/>
    <xf numFmtId="3" fontId="13" fillId="0" borderId="33" xfId="0" applyNumberFormat="1" applyFont="1" applyBorder="1"/>
    <xf numFmtId="3" fontId="13" fillId="0" borderId="35" xfId="0" applyNumberFormat="1" applyFont="1" applyBorder="1"/>
    <xf numFmtId="3" fontId="13" fillId="0" borderId="34" xfId="0" applyNumberFormat="1" applyFont="1" applyBorder="1"/>
    <xf numFmtId="0" fontId="13" fillId="0" borderId="0" xfId="0" applyFont="1" applyAlignment="1">
      <alignment horizontal="left" indent="1"/>
    </xf>
    <xf numFmtId="3" fontId="13" fillId="0" borderId="0" xfId="0" applyNumberFormat="1" applyFont="1"/>
    <xf numFmtId="37" fontId="12" fillId="0" borderId="37" xfId="0" applyNumberFormat="1" applyFont="1" applyBorder="1"/>
    <xf numFmtId="0" fontId="12" fillId="5" borderId="0" xfId="0" applyFont="1" applyFill="1"/>
    <xf numFmtId="37" fontId="12" fillId="5" borderId="0" xfId="0" applyNumberFormat="1" applyFont="1" applyFill="1"/>
    <xf numFmtId="37" fontId="14" fillId="0" borderId="0" xfId="0" applyNumberFormat="1" applyFont="1"/>
    <xf numFmtId="37" fontId="12" fillId="0" borderId="8" xfId="0" applyNumberFormat="1" applyFont="1" applyBorder="1"/>
    <xf numFmtId="0" fontId="12" fillId="0" borderId="0" xfId="0" applyFont="1" applyAlignment="1">
      <alignment vertical="center"/>
    </xf>
    <xf numFmtId="37" fontId="11" fillId="2" borderId="2" xfId="0" applyNumberFormat="1" applyFont="1" applyFill="1" applyBorder="1" applyAlignment="1">
      <alignment horizontal="left" vertical="center" wrapText="1"/>
    </xf>
    <xf numFmtId="37" fontId="11" fillId="2" borderId="3" xfId="0" applyNumberFormat="1" applyFont="1" applyFill="1" applyBorder="1" applyAlignment="1">
      <alignment horizontal="center" vertical="center" wrapText="1"/>
    </xf>
    <xf numFmtId="37" fontId="11" fillId="2" borderId="4" xfId="0" applyNumberFormat="1" applyFont="1" applyFill="1" applyBorder="1" applyAlignment="1">
      <alignment horizontal="center" vertical="center" wrapText="1"/>
    </xf>
    <xf numFmtId="37" fontId="12" fillId="0" borderId="0" xfId="0" applyNumberFormat="1" applyFont="1" applyAlignment="1">
      <alignment horizontal="center"/>
    </xf>
    <xf numFmtId="37" fontId="15" fillId="0" borderId="0" xfId="0" applyNumberFormat="1" applyFont="1" applyAlignment="1">
      <alignment horizontal="center"/>
    </xf>
    <xf numFmtId="37" fontId="18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39" fontId="15" fillId="0" borderId="0" xfId="0" applyNumberFormat="1" applyFont="1" applyAlignment="1">
      <alignment horizontal="center"/>
    </xf>
    <xf numFmtId="39" fontId="12" fillId="0" borderId="0" xfId="0" applyNumberFormat="1" applyFont="1" applyAlignment="1">
      <alignment horizontal="center"/>
    </xf>
    <xf numFmtId="39" fontId="12" fillId="0" borderId="6" xfId="0" applyNumberFormat="1" applyFont="1" applyBorder="1" applyAlignment="1">
      <alignment horizontal="center"/>
    </xf>
    <xf numFmtId="37" fontId="12" fillId="0" borderId="6" xfId="0" applyNumberFormat="1" applyFont="1" applyBorder="1" applyAlignment="1">
      <alignment horizontal="center"/>
    </xf>
    <xf numFmtId="37" fontId="12" fillId="4" borderId="45" xfId="0" applyNumberFormat="1" applyFont="1" applyFill="1" applyBorder="1" applyAlignment="1">
      <alignment horizontal="centerContinuous"/>
    </xf>
    <xf numFmtId="37" fontId="12" fillId="4" borderId="46" xfId="0" applyNumberFormat="1" applyFont="1" applyFill="1" applyBorder="1" applyAlignment="1">
      <alignment horizontal="centerContinuous"/>
    </xf>
    <xf numFmtId="10" fontId="12" fillId="4" borderId="46" xfId="0" applyNumberFormat="1" applyFont="1" applyFill="1" applyBorder="1" applyAlignment="1">
      <alignment horizontal="center"/>
    </xf>
    <xf numFmtId="10" fontId="12" fillId="4" borderId="47" xfId="0" applyNumberFormat="1" applyFont="1" applyFill="1" applyBorder="1" applyAlignment="1">
      <alignment horizontal="center"/>
    </xf>
    <xf numFmtId="37" fontId="12" fillId="0" borderId="9" xfId="0" applyNumberFormat="1" applyFont="1" applyBorder="1"/>
    <xf numFmtId="37" fontId="11" fillId="2" borderId="2" xfId="0" applyNumberFormat="1" applyFont="1" applyFill="1" applyBorder="1" applyAlignment="1">
      <alignment horizontal="centerContinuous"/>
    </xf>
    <xf numFmtId="37" fontId="16" fillId="2" borderId="3" xfId="0" applyNumberFormat="1" applyFont="1" applyFill="1" applyBorder="1" applyAlignment="1">
      <alignment horizontal="centerContinuous"/>
    </xf>
    <xf numFmtId="37" fontId="11" fillId="2" borderId="3" xfId="0" applyNumberFormat="1" applyFont="1" applyFill="1" applyBorder="1" applyAlignment="1">
      <alignment horizontal="centerContinuous"/>
    </xf>
    <xf numFmtId="176" fontId="16" fillId="2" borderId="4" xfId="0" applyNumberFormat="1" applyFont="1" applyFill="1" applyBorder="1" applyAlignment="1">
      <alignment horizontal="centerContinuous"/>
    </xf>
    <xf numFmtId="37" fontId="13" fillId="0" borderId="5" xfId="0" applyNumberFormat="1" applyFont="1" applyBorder="1"/>
    <xf numFmtId="37" fontId="12" fillId="0" borderId="5" xfId="0" applyNumberFormat="1" applyFont="1" applyBorder="1"/>
    <xf numFmtId="10" fontId="12" fillId="0" borderId="6" xfId="1" applyNumberFormat="1" applyFont="1" applyBorder="1"/>
    <xf numFmtId="10" fontId="12" fillId="0" borderId="6" xfId="0" applyNumberFormat="1" applyFont="1" applyBorder="1"/>
    <xf numFmtId="10" fontId="15" fillId="0" borderId="6" xfId="1" applyNumberFormat="1" applyFont="1" applyBorder="1"/>
    <xf numFmtId="39" fontId="15" fillId="0" borderId="6" xfId="0" applyNumberFormat="1" applyFont="1" applyBorder="1"/>
    <xf numFmtId="175" fontId="18" fillId="0" borderId="0" xfId="0" applyNumberFormat="1" applyFont="1" applyAlignment="1">
      <alignment horizontal="center"/>
    </xf>
    <xf numFmtId="182" fontId="12" fillId="0" borderId="0" xfId="0" applyNumberFormat="1" applyFont="1" applyAlignment="1">
      <alignment horizontal="center"/>
    </xf>
    <xf numFmtId="182" fontId="12" fillId="0" borderId="6" xfId="0" applyNumberFormat="1" applyFont="1" applyBorder="1" applyAlignment="1">
      <alignment horizontal="center" vertical="top"/>
    </xf>
    <xf numFmtId="175" fontId="15" fillId="0" borderId="0" xfId="0" applyNumberFormat="1" applyFont="1" applyAlignment="1">
      <alignment horizontal="center"/>
    </xf>
    <xf numFmtId="37" fontId="12" fillId="0" borderId="8" xfId="0" applyNumberFormat="1" applyFont="1" applyBorder="1" applyAlignment="1">
      <alignment horizontal="center"/>
    </xf>
    <xf numFmtId="175" fontId="15" fillId="0" borderId="8" xfId="0" applyNumberFormat="1" applyFont="1" applyBorder="1" applyAlignment="1">
      <alignment horizontal="center"/>
    </xf>
    <xf numFmtId="37" fontId="15" fillId="0" borderId="8" xfId="0" applyNumberFormat="1" applyFont="1" applyBorder="1" applyAlignment="1">
      <alignment horizontal="center"/>
    </xf>
    <xf numFmtId="182" fontId="12" fillId="0" borderId="8" xfId="0" applyNumberFormat="1" applyFont="1" applyBorder="1" applyAlignment="1">
      <alignment horizontal="center"/>
    </xf>
    <xf numFmtId="182" fontId="12" fillId="0" borderId="9" xfId="0" applyNumberFormat="1" applyFont="1" applyBorder="1" applyAlignment="1">
      <alignment horizontal="center" vertical="top"/>
    </xf>
    <xf numFmtId="2" fontId="12" fillId="0" borderId="0" xfId="0" applyNumberFormat="1" applyFont="1" applyAlignment="1">
      <alignment horizontal="center"/>
    </xf>
    <xf numFmtId="10" fontId="12" fillId="0" borderId="0" xfId="1" applyNumberFormat="1" applyFont="1" applyFill="1" applyBorder="1"/>
    <xf numFmtId="10" fontId="12" fillId="0" borderId="0" xfId="0" applyNumberFormat="1" applyFont="1"/>
    <xf numFmtId="181" fontId="12" fillId="0" borderId="0" xfId="1" applyNumberFormat="1" applyFont="1" applyFill="1" applyBorder="1" applyAlignment="1">
      <alignment horizontal="centerContinuous"/>
    </xf>
    <xf numFmtId="177" fontId="12" fillId="0" borderId="0" xfId="0" applyNumberFormat="1" applyFont="1" applyAlignment="1">
      <alignment horizontal="centerContinuous"/>
    </xf>
    <xf numFmtId="181" fontId="12" fillId="0" borderId="0" xfId="0" applyNumberFormat="1" applyFont="1" applyAlignment="1">
      <alignment horizontal="centerContinuous"/>
    </xf>
    <xf numFmtId="14" fontId="15" fillId="0" borderId="0" xfId="0" applyNumberFormat="1" applyFont="1"/>
    <xf numFmtId="167" fontId="18" fillId="0" borderId="0" xfId="0" applyNumberFormat="1" applyFont="1"/>
    <xf numFmtId="175" fontId="18" fillId="0" borderId="0" xfId="0" applyNumberFormat="1" applyFont="1"/>
    <xf numFmtId="14" fontId="18" fillId="0" borderId="0" xfId="0" applyNumberFormat="1" applyFont="1"/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6" fillId="2" borderId="0" xfId="0" applyFont="1" applyFill="1"/>
    <xf numFmtId="164" fontId="16" fillId="2" borderId="0" xfId="0" applyNumberFormat="1" applyFont="1" applyFill="1"/>
    <xf numFmtId="165" fontId="16" fillId="2" borderId="0" xfId="0" applyNumberFormat="1" applyFont="1" applyFill="1"/>
    <xf numFmtId="165" fontId="16" fillId="2" borderId="6" xfId="0" applyNumberFormat="1" applyFont="1" applyFill="1" applyBorder="1"/>
    <xf numFmtId="37" fontId="18" fillId="0" borderId="6" xfId="0" applyNumberFormat="1" applyFont="1" applyBorder="1"/>
    <xf numFmtId="10" fontId="12" fillId="0" borderId="1" xfId="0" applyNumberFormat="1" applyFont="1" applyBorder="1"/>
    <xf numFmtId="178" fontId="13" fillId="0" borderId="5" xfId="0" applyNumberFormat="1" applyFont="1" applyBorder="1" applyAlignment="1">
      <alignment horizontal="left"/>
    </xf>
    <xf numFmtId="179" fontId="12" fillId="0" borderId="19" xfId="0" applyNumberFormat="1" applyFont="1" applyBorder="1" applyAlignment="1">
      <alignment horizontal="left"/>
    </xf>
    <xf numFmtId="0" fontId="12" fillId="0" borderId="21" xfId="0" applyFont="1" applyBorder="1"/>
    <xf numFmtId="0" fontId="12" fillId="0" borderId="20" xfId="0" applyFont="1" applyBorder="1"/>
    <xf numFmtId="0" fontId="12" fillId="0" borderId="22" xfId="0" applyFont="1" applyBorder="1"/>
    <xf numFmtId="180" fontId="13" fillId="0" borderId="0" xfId="0" applyNumberFormat="1" applyFont="1" applyAlignment="1">
      <alignment horizontal="right"/>
    </xf>
    <xf numFmtId="180" fontId="13" fillId="0" borderId="6" xfId="0" applyNumberFormat="1" applyFont="1" applyBorder="1" applyAlignment="1">
      <alignment horizontal="right"/>
    </xf>
    <xf numFmtId="14" fontId="12" fillId="0" borderId="6" xfId="0" applyNumberFormat="1" applyFont="1" applyBorder="1"/>
    <xf numFmtId="0" fontId="11" fillId="2" borderId="2" xfId="0" applyFont="1" applyFill="1" applyBorder="1" applyAlignment="1">
      <alignment horizontal="centerContinuous"/>
    </xf>
    <xf numFmtId="0" fontId="11" fillId="2" borderId="4" xfId="0" applyFont="1" applyFill="1" applyBorder="1" applyAlignment="1">
      <alignment horizontal="centerContinuous"/>
    </xf>
    <xf numFmtId="0" fontId="11" fillId="2" borderId="3" xfId="0" applyFont="1" applyFill="1" applyBorder="1" applyAlignment="1">
      <alignment horizontal="centerContinuous"/>
    </xf>
    <xf numFmtId="0" fontId="12" fillId="0" borderId="5" xfId="0" applyFont="1" applyBorder="1" applyAlignment="1">
      <alignment horizontal="left"/>
    </xf>
    <xf numFmtId="0" fontId="15" fillId="0" borderId="6" xfId="0" applyFont="1" applyBorder="1" applyAlignment="1">
      <alignment horizontal="right"/>
    </xf>
    <xf numFmtId="0" fontId="12" fillId="0" borderId="0" xfId="0" applyFont="1" applyAlignment="1">
      <alignment horizontal="left"/>
    </xf>
    <xf numFmtId="14" fontId="15" fillId="0" borderId="6" xfId="0" applyNumberFormat="1" applyFont="1" applyBorder="1" applyAlignment="1">
      <alignment horizontal="right"/>
    </xf>
    <xf numFmtId="0" fontId="12" fillId="0" borderId="0" xfId="0" applyFont="1" applyAlignment="1">
      <alignment horizontal="centerContinuous"/>
    </xf>
    <xf numFmtId="0" fontId="22" fillId="0" borderId="0" xfId="0" applyFont="1"/>
    <xf numFmtId="37" fontId="15" fillId="0" borderId="6" xfId="0" applyNumberFormat="1" applyFont="1" applyBorder="1"/>
    <xf numFmtId="0" fontId="11" fillId="0" borderId="0" xfId="0" applyFont="1" applyAlignment="1">
      <alignment horizontal="centerContinuous"/>
    </xf>
    <xf numFmtId="167" fontId="12" fillId="0" borderId="0" xfId="0" applyNumberFormat="1" applyFont="1"/>
    <xf numFmtId="0" fontId="11" fillId="2" borderId="5" xfId="0" applyFont="1" applyFill="1" applyBorder="1"/>
    <xf numFmtId="43" fontId="23" fillId="2" borderId="3" xfId="3" applyFont="1" applyFill="1" applyBorder="1" applyAlignment="1">
      <alignment horizontal="center"/>
    </xf>
    <xf numFmtId="43" fontId="23" fillId="2" borderId="3" xfId="3" applyFont="1" applyFill="1" applyBorder="1" applyAlignment="1">
      <alignment horizontal="centerContinuous"/>
    </xf>
    <xf numFmtId="43" fontId="24" fillId="2" borderId="4" xfId="3" applyFont="1" applyFill="1" applyBorder="1" applyAlignment="1">
      <alignment horizontal="centerContinuous"/>
    </xf>
    <xf numFmtId="0" fontId="25" fillId="0" borderId="5" xfId="0" applyFont="1" applyBorder="1"/>
    <xf numFmtId="0" fontId="13" fillId="0" borderId="8" xfId="0" applyFont="1" applyBorder="1"/>
    <xf numFmtId="182" fontId="20" fillId="0" borderId="0" xfId="0" applyNumberFormat="1" applyFont="1"/>
    <xf numFmtId="2" fontId="12" fillId="0" borderId="51" xfId="0" applyNumberFormat="1" applyFont="1" applyBorder="1"/>
    <xf numFmtId="2" fontId="12" fillId="0" borderId="52" xfId="0" applyNumberFormat="1" applyFont="1" applyBorder="1"/>
    <xf numFmtId="2" fontId="12" fillId="0" borderId="31" xfId="0" applyNumberFormat="1" applyFont="1" applyBorder="1"/>
    <xf numFmtId="2" fontId="12" fillId="0" borderId="53" xfId="0" applyNumberFormat="1" applyFont="1" applyBorder="1"/>
    <xf numFmtId="2" fontId="12" fillId="0" borderId="54" xfId="0" applyNumberFormat="1" applyFont="1" applyBorder="1"/>
    <xf numFmtId="2" fontId="12" fillId="0" borderId="0" xfId="0" applyNumberFormat="1" applyFont="1"/>
    <xf numFmtId="2" fontId="12" fillId="0" borderId="44" xfId="0" applyNumberFormat="1" applyFont="1" applyBorder="1"/>
    <xf numFmtId="2" fontId="12" fillId="0" borderId="55" xfId="0" applyNumberFormat="1" applyFont="1" applyBorder="1"/>
    <xf numFmtId="2" fontId="12" fillId="0" borderId="56" xfId="0" applyNumberFormat="1" applyFont="1" applyBorder="1"/>
    <xf numFmtId="2" fontId="12" fillId="0" borderId="57" xfId="0" applyNumberFormat="1" applyFont="1" applyBorder="1"/>
    <xf numFmtId="175" fontId="16" fillId="0" borderId="0" xfId="0" applyNumberFormat="1" applyFont="1"/>
    <xf numFmtId="0" fontId="13" fillId="0" borderId="0" xfId="0" applyFont="1" applyAlignment="1">
      <alignment horizontal="centerContinuous"/>
    </xf>
    <xf numFmtId="0" fontId="12" fillId="0" borderId="36" xfId="0" applyFont="1" applyBorder="1"/>
    <xf numFmtId="0" fontId="12" fillId="0" borderId="37" xfId="0" applyFont="1" applyBorder="1"/>
    <xf numFmtId="0" fontId="12" fillId="0" borderId="38" xfId="0" applyFont="1" applyBorder="1"/>
    <xf numFmtId="0" fontId="12" fillId="0" borderId="41" xfId="0" applyFont="1" applyBorder="1"/>
    <xf numFmtId="0" fontId="12" fillId="0" borderId="42" xfId="0" applyFont="1" applyBorder="1" applyAlignment="1">
      <alignment horizontal="centerContinuous"/>
    </xf>
    <xf numFmtId="167" fontId="12" fillId="0" borderId="43" xfId="0" applyNumberFormat="1" applyFont="1" applyBorder="1" applyAlignment="1">
      <alignment horizontal="right"/>
    </xf>
    <xf numFmtId="14" fontId="15" fillId="0" borderId="37" xfId="0" applyNumberFormat="1" applyFont="1" applyBorder="1" applyAlignment="1">
      <alignment horizontal="right"/>
    </xf>
    <xf numFmtId="10" fontId="15" fillId="0" borderId="37" xfId="1" applyNumberFormat="1" applyFont="1" applyFill="1" applyBorder="1"/>
    <xf numFmtId="175" fontId="12" fillId="0" borderId="37" xfId="0" applyNumberFormat="1" applyFont="1" applyBorder="1"/>
    <xf numFmtId="0" fontId="12" fillId="0" borderId="39" xfId="0" applyFont="1" applyBorder="1"/>
    <xf numFmtId="182" fontId="12" fillId="0" borderId="40" xfId="0" applyNumberFormat="1" applyFont="1" applyBorder="1"/>
    <xf numFmtId="3" fontId="12" fillId="0" borderId="3" xfId="0" applyNumberFormat="1" applyFont="1" applyBorder="1"/>
    <xf numFmtId="3" fontId="12" fillId="0" borderId="11" xfId="0" applyNumberFormat="1" applyFont="1" applyBorder="1"/>
    <xf numFmtId="3" fontId="12" fillId="0" borderId="4" xfId="0" applyNumberFormat="1" applyFont="1" applyBorder="1"/>
    <xf numFmtId="0" fontId="13" fillId="4" borderId="58" xfId="0" applyFont="1" applyFill="1" applyBorder="1"/>
    <xf numFmtId="0" fontId="12" fillId="4" borderId="59" xfId="0" applyFont="1" applyFill="1" applyBorder="1"/>
    <xf numFmtId="7" fontId="13" fillId="4" borderId="60" xfId="4" applyNumberFormat="1" applyFont="1" applyFill="1" applyBorder="1"/>
    <xf numFmtId="166" fontId="13" fillId="4" borderId="60" xfId="0" applyNumberFormat="1" applyFont="1" applyFill="1" applyBorder="1"/>
    <xf numFmtId="7" fontId="16" fillId="0" borderId="0" xfId="0" applyNumberFormat="1" applyFont="1"/>
    <xf numFmtId="167" fontId="12" fillId="0" borderId="4" xfId="0" applyNumberFormat="1" applyFont="1" applyBorder="1"/>
    <xf numFmtId="182" fontId="18" fillId="0" borderId="6" xfId="0" applyNumberFormat="1" applyFont="1" applyBorder="1"/>
    <xf numFmtId="3" fontId="12" fillId="0" borderId="6" xfId="0" applyNumberFormat="1" applyFont="1" applyBorder="1"/>
    <xf numFmtId="0" fontId="13" fillId="4" borderId="61" xfId="0" applyFont="1" applyFill="1" applyBorder="1"/>
    <xf numFmtId="175" fontId="13" fillId="4" borderId="62" xfId="0" applyNumberFormat="1" applyFont="1" applyFill="1" applyBorder="1"/>
    <xf numFmtId="175" fontId="12" fillId="0" borderId="6" xfId="0" applyNumberFormat="1" applyFont="1" applyBorder="1"/>
    <xf numFmtId="166" fontId="13" fillId="4" borderId="62" xfId="0" applyNumberFormat="1" applyFont="1" applyFill="1" applyBorder="1"/>
    <xf numFmtId="0" fontId="14" fillId="0" borderId="5" xfId="0" applyFont="1" applyBorder="1" applyAlignment="1">
      <alignment horizontal="left" indent="1"/>
    </xf>
    <xf numFmtId="0" fontId="14" fillId="0" borderId="7" xfId="0" applyFont="1" applyBorder="1" applyAlignment="1">
      <alignment horizontal="left" indent="1"/>
    </xf>
    <xf numFmtId="177" fontId="12" fillId="4" borderId="64" xfId="0" applyNumberFormat="1" applyFont="1" applyFill="1" applyBorder="1" applyAlignment="1">
      <alignment horizontal="centerContinuous"/>
    </xf>
    <xf numFmtId="181" fontId="12" fillId="4" borderId="46" xfId="0" applyNumberFormat="1" applyFont="1" applyFill="1" applyBorder="1" applyAlignment="1">
      <alignment horizontal="centerContinuous"/>
    </xf>
    <xf numFmtId="177" fontId="12" fillId="4" borderId="46" xfId="0" applyNumberFormat="1" applyFont="1" applyFill="1" applyBorder="1" applyAlignment="1">
      <alignment horizontal="centerContinuous"/>
    </xf>
    <xf numFmtId="177" fontId="12" fillId="4" borderId="65" xfId="0" applyNumberFormat="1" applyFont="1" applyFill="1" applyBorder="1" applyAlignment="1">
      <alignment horizontal="centerContinuous"/>
    </xf>
    <xf numFmtId="181" fontId="13" fillId="4" borderId="63" xfId="1" applyNumberFormat="1" applyFont="1" applyFill="1" applyBorder="1" applyAlignment="1">
      <alignment horizontal="centerContinuous"/>
    </xf>
    <xf numFmtId="2" fontId="12" fillId="0" borderId="66" xfId="0" applyNumberFormat="1" applyFont="1" applyBorder="1"/>
    <xf numFmtId="2" fontId="12" fillId="0" borderId="67" xfId="0" applyNumberFormat="1" applyFont="1" applyBorder="1"/>
    <xf numFmtId="2" fontId="12" fillId="0" borderId="68" xfId="0" applyNumberFormat="1" applyFont="1" applyBorder="1"/>
    <xf numFmtId="2" fontId="12" fillId="0" borderId="69" xfId="0" applyNumberFormat="1" applyFont="1" applyBorder="1"/>
    <xf numFmtId="2" fontId="12" fillId="0" borderId="70" xfId="0" applyNumberFormat="1" applyFont="1" applyBorder="1"/>
    <xf numFmtId="2" fontId="12" fillId="0" borderId="71" xfId="0" applyNumberFormat="1" applyFont="1" applyBorder="1"/>
    <xf numFmtId="2" fontId="12" fillId="0" borderId="72" xfId="0" applyNumberFormat="1" applyFont="1" applyBorder="1"/>
    <xf numFmtId="2" fontId="12" fillId="0" borderId="73" xfId="0" applyNumberFormat="1" applyFont="1" applyBorder="1"/>
    <xf numFmtId="0" fontId="12" fillId="4" borderId="48" xfId="0" applyFont="1" applyFill="1" applyBorder="1"/>
    <xf numFmtId="37" fontId="12" fillId="4" borderId="49" xfId="0" applyNumberFormat="1" applyFont="1" applyFill="1" applyBorder="1" applyAlignment="1">
      <alignment horizontal="center"/>
    </xf>
    <xf numFmtId="175" fontId="18" fillId="4" borderId="49" xfId="0" applyNumberFormat="1" applyFont="1" applyFill="1" applyBorder="1" applyAlignment="1">
      <alignment horizontal="center"/>
    </xf>
    <xf numFmtId="37" fontId="15" fillId="4" borderId="49" xfId="0" applyNumberFormat="1" applyFont="1" applyFill="1" applyBorder="1" applyAlignment="1">
      <alignment horizontal="center"/>
    </xf>
    <xf numFmtId="39" fontId="12" fillId="4" borderId="49" xfId="0" applyNumberFormat="1" applyFont="1" applyFill="1" applyBorder="1" applyAlignment="1">
      <alignment horizontal="center"/>
    </xf>
    <xf numFmtId="182" fontId="12" fillId="4" borderId="49" xfId="0" applyNumberFormat="1" applyFont="1" applyFill="1" applyBorder="1" applyAlignment="1">
      <alignment horizontal="center"/>
    </xf>
    <xf numFmtId="182" fontId="12" fillId="4" borderId="50" xfId="0" applyNumberFormat="1" applyFont="1" applyFill="1" applyBorder="1" applyAlignment="1">
      <alignment horizontal="center" vertical="top"/>
    </xf>
    <xf numFmtId="37" fontId="13" fillId="5" borderId="0" xfId="0" applyNumberFormat="1" applyFont="1" applyFill="1"/>
    <xf numFmtId="10" fontId="12" fillId="5" borderId="0" xfId="1" applyNumberFormat="1" applyFont="1" applyFill="1" applyBorder="1"/>
    <xf numFmtId="0" fontId="12" fillId="5" borderId="5" xfId="0" applyFont="1" applyFill="1" applyBorder="1"/>
    <xf numFmtId="37" fontId="12" fillId="5" borderId="6" xfId="0" applyNumberFormat="1" applyFont="1" applyFill="1" applyBorder="1"/>
    <xf numFmtId="2" fontId="14" fillId="5" borderId="5" xfId="0" applyNumberFormat="1" applyFont="1" applyFill="1" applyBorder="1" applyAlignment="1">
      <alignment horizontal="left" indent="1"/>
    </xf>
    <xf numFmtId="10" fontId="12" fillId="5" borderId="6" xfId="1" applyNumberFormat="1" applyFont="1" applyFill="1" applyBorder="1"/>
    <xf numFmtId="0" fontId="13" fillId="5" borderId="5" xfId="0" applyFont="1" applyFill="1" applyBorder="1"/>
    <xf numFmtId="37" fontId="13" fillId="5" borderId="6" xfId="0" applyNumberFormat="1" applyFont="1" applyFill="1" applyBorder="1"/>
    <xf numFmtId="0" fontId="14" fillId="5" borderId="5" xfId="0" applyFont="1" applyFill="1" applyBorder="1"/>
    <xf numFmtId="0" fontId="13" fillId="5" borderId="7" xfId="0" applyFont="1" applyFill="1" applyBorder="1"/>
    <xf numFmtId="37" fontId="12" fillId="5" borderId="8" xfId="0" applyNumberFormat="1" applyFont="1" applyFill="1" applyBorder="1"/>
    <xf numFmtId="37" fontId="13" fillId="5" borderId="8" xfId="0" applyNumberFormat="1" applyFont="1" applyFill="1" applyBorder="1"/>
    <xf numFmtId="37" fontId="13" fillId="5" borderId="9" xfId="0" applyNumberFormat="1" applyFont="1" applyFill="1" applyBorder="1"/>
    <xf numFmtId="37" fontId="12" fillId="5" borderId="1" xfId="0" applyNumberFormat="1" applyFont="1" applyFill="1" applyBorder="1"/>
    <xf numFmtId="10" fontId="12" fillId="5" borderId="1" xfId="1" applyNumberFormat="1" applyFont="1" applyFill="1" applyBorder="1"/>
    <xf numFmtId="37" fontId="13" fillId="5" borderId="1" xfId="0" applyNumberFormat="1" applyFont="1" applyFill="1" applyBorder="1"/>
    <xf numFmtId="37" fontId="13" fillId="5" borderId="10" xfId="0" applyNumberFormat="1" applyFont="1" applyFill="1" applyBorder="1"/>
    <xf numFmtId="2" fontId="14" fillId="5" borderId="19" xfId="0" applyNumberFormat="1" applyFont="1" applyFill="1" applyBorder="1" applyAlignment="1">
      <alignment horizontal="left" indent="1"/>
    </xf>
    <xf numFmtId="10" fontId="12" fillId="5" borderId="20" xfId="1" applyNumberFormat="1" applyFont="1" applyFill="1" applyBorder="1"/>
    <xf numFmtId="10" fontId="12" fillId="5" borderId="21" xfId="1" applyNumberFormat="1" applyFont="1" applyFill="1" applyBorder="1"/>
    <xf numFmtId="10" fontId="12" fillId="5" borderId="22" xfId="1" applyNumberFormat="1" applyFont="1" applyFill="1" applyBorder="1"/>
    <xf numFmtId="37" fontId="18" fillId="4" borderId="49" xfId="0" applyNumberFormat="1" applyFont="1" applyFill="1" applyBorder="1" applyAlignment="1">
      <alignment horizontal="center"/>
    </xf>
    <xf numFmtId="10" fontId="12" fillId="4" borderId="49" xfId="0" applyNumberFormat="1" applyFont="1" applyFill="1" applyBorder="1" applyAlignment="1">
      <alignment horizontal="center"/>
    </xf>
    <xf numFmtId="39" fontId="15" fillId="4" borderId="49" xfId="0" applyNumberFormat="1" applyFont="1" applyFill="1" applyBorder="1" applyAlignment="1">
      <alignment horizontal="center"/>
    </xf>
    <xf numFmtId="39" fontId="12" fillId="4" borderId="50" xfId="0" applyNumberFormat="1" applyFont="1" applyFill="1" applyBorder="1" applyAlignment="1">
      <alignment horizontal="center"/>
    </xf>
    <xf numFmtId="183" fontId="12" fillId="4" borderId="0" xfId="5" applyNumberFormat="1" applyFont="1" applyFill="1" applyBorder="1"/>
    <xf numFmtId="183" fontId="12" fillId="0" borderId="42" xfId="0" applyNumberFormat="1" applyFont="1" applyBorder="1"/>
    <xf numFmtId="183" fontId="12" fillId="4" borderId="75" xfId="5" applyNumberFormat="1" applyFont="1" applyFill="1" applyBorder="1"/>
    <xf numFmtId="14" fontId="11" fillId="2" borderId="2" xfId="0" applyNumberFormat="1" applyFont="1" applyFill="1" applyBorder="1" applyAlignment="1">
      <alignment horizontal="left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43" fontId="12" fillId="0" borderId="76" xfId="0" applyNumberFormat="1" applyFont="1" applyBorder="1" applyAlignment="1">
      <alignment horizontal="left"/>
    </xf>
    <xf numFmtId="183" fontId="12" fillId="0" borderId="77" xfId="0" applyNumberFormat="1" applyFont="1" applyBorder="1"/>
    <xf numFmtId="2" fontId="13" fillId="4" borderId="78" xfId="0" applyNumberFormat="1" applyFont="1" applyFill="1" applyBorder="1" applyAlignment="1">
      <alignment horizontal="left"/>
    </xf>
    <xf numFmtId="43" fontId="12" fillId="4" borderId="5" xfId="5" applyNumberFormat="1" applyFont="1" applyFill="1" applyBorder="1" applyAlignment="1">
      <alignment horizontal="left"/>
    </xf>
    <xf numFmtId="183" fontId="12" fillId="4" borderId="6" xfId="5" applyNumberFormat="1" applyFont="1" applyFill="1" applyBorder="1"/>
    <xf numFmtId="43" fontId="12" fillId="4" borderId="80" xfId="5" applyNumberFormat="1" applyFont="1" applyFill="1" applyBorder="1" applyAlignment="1">
      <alignment horizontal="left"/>
    </xf>
    <xf numFmtId="183" fontId="12" fillId="4" borderId="81" xfId="5" applyNumberFormat="1" applyFont="1" applyFill="1" applyBorder="1"/>
    <xf numFmtId="182" fontId="13" fillId="4" borderId="74" xfId="0" applyNumberFormat="1" applyFont="1" applyFill="1" applyBorder="1"/>
    <xf numFmtId="182" fontId="13" fillId="4" borderId="79" xfId="0" applyNumberFormat="1" applyFont="1" applyFill="1" applyBorder="1"/>
    <xf numFmtId="184" fontId="12" fillId="0" borderId="0" xfId="0" applyNumberFormat="1" applyFont="1"/>
    <xf numFmtId="185" fontId="12" fillId="0" borderId="0" xfId="0" applyNumberFormat="1" applyFont="1"/>
    <xf numFmtId="184" fontId="12" fillId="0" borderId="6" xfId="0" applyNumberFormat="1" applyFont="1" applyBorder="1"/>
    <xf numFmtId="185" fontId="12" fillId="0" borderId="6" xfId="0" applyNumberFormat="1" applyFont="1" applyBorder="1"/>
    <xf numFmtId="166" fontId="12" fillId="0" borderId="1" xfId="1" applyNumberFormat="1" applyFont="1" applyBorder="1"/>
    <xf numFmtId="37" fontId="20" fillId="0" borderId="1" xfId="0" applyNumberFormat="1" applyFont="1" applyBorder="1"/>
    <xf numFmtId="37" fontId="15" fillId="0" borderId="1" xfId="0" applyNumberFormat="1" applyFont="1" applyBorder="1"/>
    <xf numFmtId="166" fontId="12" fillId="0" borderId="10" xfId="0" applyNumberFormat="1" applyFont="1" applyBorder="1"/>
    <xf numFmtId="0" fontId="13" fillId="0" borderId="32" xfId="0" applyFont="1" applyBorder="1" applyAlignment="1">
      <alignment horizontal="left"/>
    </xf>
    <xf numFmtId="10" fontId="18" fillId="0" borderId="6" xfId="0" applyNumberFormat="1" applyFont="1" applyBorder="1"/>
    <xf numFmtId="39" fontId="15" fillId="0" borderId="8" xfId="0" applyNumberFormat="1" applyFont="1" applyBorder="1" applyAlignment="1">
      <alignment horizontal="center"/>
    </xf>
    <xf numFmtId="39" fontId="18" fillId="0" borderId="37" xfId="0" applyNumberFormat="1" applyFont="1" applyBorder="1"/>
    <xf numFmtId="39" fontId="18" fillId="0" borderId="6" xfId="0" applyNumberFormat="1" applyFont="1" applyBorder="1"/>
    <xf numFmtId="0" fontId="12" fillId="0" borderId="82" xfId="0" applyFont="1" applyBorder="1"/>
    <xf numFmtId="37" fontId="18" fillId="0" borderId="82" xfId="0" applyNumberFormat="1" applyFont="1" applyBorder="1"/>
    <xf numFmtId="166" fontId="12" fillId="0" borderId="82" xfId="0" applyNumberFormat="1" applyFont="1" applyBorder="1"/>
    <xf numFmtId="37" fontId="12" fillId="0" borderId="82" xfId="0" applyNumberFormat="1" applyFont="1" applyBorder="1"/>
    <xf numFmtId="166" fontId="18" fillId="0" borderId="82" xfId="0" applyNumberFormat="1" applyFont="1" applyBorder="1"/>
    <xf numFmtId="37" fontId="13" fillId="0" borderId="82" xfId="0" applyNumberFormat="1" applyFont="1" applyBorder="1"/>
    <xf numFmtId="0" fontId="18" fillId="0" borderId="82" xfId="0" applyFont="1" applyBorder="1"/>
    <xf numFmtId="10" fontId="12" fillId="0" borderId="82" xfId="0" applyNumberFormat="1" applyFont="1" applyBorder="1"/>
    <xf numFmtId="0" fontId="12" fillId="0" borderId="83" xfId="0" applyFont="1" applyBorder="1"/>
  </cellXfs>
  <cellStyles count="6">
    <cellStyle name="20% - Accent2" xfId="5" builtinId="34"/>
    <cellStyle name="Comma" xfId="3" builtinId="3"/>
    <cellStyle name="Currency" xfId="4" builtinId="4"/>
    <cellStyle name="Normal" xfId="0" builtinId="0"/>
    <cellStyle name="Normal 2" xfId="2" xr:uid="{04AE26C6-B399-4457-B9BA-34C46CC6B48C}"/>
    <cellStyle name="Percent" xfId="1" builtinId="5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4388-4D2C-114C-86DF-EA0FDC820BDE}">
  <dimension ref="A1:G64"/>
  <sheetViews>
    <sheetView topLeftCell="A10" workbookViewId="0">
      <selection activeCell="B29" sqref="B29"/>
    </sheetView>
  </sheetViews>
  <sheetFormatPr baseColWidth="10" defaultColWidth="11" defaultRowHeight="16" x14ac:dyDescent="0.2"/>
  <cols>
    <col min="1" max="1" width="49.83203125" bestFit="1" customWidth="1"/>
  </cols>
  <sheetData>
    <row r="1" spans="1:7" x14ac:dyDescent="0.2">
      <c r="A1" s="5" t="s">
        <v>75</v>
      </c>
    </row>
    <row r="2" spans="1:7" x14ac:dyDescent="0.2">
      <c r="A2" s="6" t="s">
        <v>76</v>
      </c>
    </row>
    <row r="3" spans="1:7" x14ac:dyDescent="0.2">
      <c r="A3" s="7"/>
      <c r="B3" s="7"/>
      <c r="C3" s="7"/>
      <c r="D3" s="7"/>
      <c r="E3" s="7"/>
      <c r="F3" s="7"/>
      <c r="G3" s="7"/>
    </row>
    <row r="5" spans="1:7" x14ac:dyDescent="0.2">
      <c r="A5" s="8" t="s">
        <v>77</v>
      </c>
      <c r="B5" s="8"/>
      <c r="C5" s="8"/>
      <c r="D5" s="8"/>
      <c r="E5" s="8"/>
      <c r="F5" s="8"/>
      <c r="G5" s="8"/>
    </row>
    <row r="6" spans="1:7" x14ac:dyDescent="0.2">
      <c r="A6" s="8" t="s">
        <v>78</v>
      </c>
      <c r="B6" s="8"/>
      <c r="C6" s="8"/>
      <c r="D6" s="8"/>
      <c r="E6" s="8"/>
      <c r="F6" s="8"/>
      <c r="G6" s="8"/>
    </row>
    <row r="7" spans="1:7" x14ac:dyDescent="0.2">
      <c r="A7" s="8" t="s">
        <v>79</v>
      </c>
      <c r="B7" s="8"/>
      <c r="C7" s="8"/>
      <c r="D7" s="8"/>
      <c r="E7" s="8"/>
      <c r="F7" s="8"/>
      <c r="G7" s="8"/>
    </row>
    <row r="8" spans="1:7" x14ac:dyDescent="0.2">
      <c r="A8" s="8"/>
      <c r="B8" s="8" t="s">
        <v>85</v>
      </c>
      <c r="C8" s="8" t="s">
        <v>84</v>
      </c>
      <c r="D8" s="8" t="s">
        <v>83</v>
      </c>
      <c r="E8" s="8" t="s">
        <v>82</v>
      </c>
      <c r="F8" s="8" t="s">
        <v>81</v>
      </c>
      <c r="G8" s="8" t="s">
        <v>80</v>
      </c>
    </row>
    <row r="9" spans="1:7" x14ac:dyDescent="0.2">
      <c r="A9" s="8"/>
      <c r="B9" s="8"/>
      <c r="C9" s="8"/>
      <c r="D9" s="8"/>
      <c r="E9" s="8"/>
      <c r="F9" s="8"/>
      <c r="G9" s="8" t="s">
        <v>86</v>
      </c>
    </row>
    <row r="10" spans="1:7" x14ac:dyDescent="0.2">
      <c r="A10" s="8"/>
      <c r="B10" s="8" t="s">
        <v>87</v>
      </c>
      <c r="C10" s="8" t="s">
        <v>87</v>
      </c>
      <c r="D10" s="8"/>
      <c r="E10" s="8"/>
      <c r="F10" s="8"/>
      <c r="G10" s="8"/>
    </row>
    <row r="11" spans="1:7" x14ac:dyDescent="0.2">
      <c r="A11" s="9" t="s">
        <v>88</v>
      </c>
      <c r="B11" s="10">
        <v>11780</v>
      </c>
      <c r="C11" s="10">
        <v>13517</v>
      </c>
      <c r="D11" s="10">
        <v>10495</v>
      </c>
      <c r="E11" s="10">
        <v>9372</v>
      </c>
      <c r="F11" s="10">
        <v>12437</v>
      </c>
      <c r="G11" s="10">
        <v>13800</v>
      </c>
    </row>
    <row r="12" spans="1:7" x14ac:dyDescent="0.2">
      <c r="A12" s="11" t="s">
        <v>89</v>
      </c>
      <c r="B12" s="12">
        <v>9760</v>
      </c>
      <c r="C12" s="12">
        <v>10823</v>
      </c>
      <c r="D12" s="12">
        <v>9293</v>
      </c>
      <c r="E12" s="12">
        <v>8607</v>
      </c>
      <c r="F12" s="12">
        <v>9815</v>
      </c>
      <c r="G12" s="12">
        <v>10298</v>
      </c>
    </row>
    <row r="13" spans="1:7" x14ac:dyDescent="0.2">
      <c r="A13" s="13" t="s">
        <v>90</v>
      </c>
      <c r="B13" s="14">
        <v>9010</v>
      </c>
      <c r="C13" s="14">
        <v>10090</v>
      </c>
      <c r="D13" s="14">
        <v>8580</v>
      </c>
      <c r="E13" s="14">
        <v>7954</v>
      </c>
      <c r="F13" s="14">
        <v>9151</v>
      </c>
      <c r="G13" s="14">
        <v>9656</v>
      </c>
    </row>
    <row r="14" spans="1:7" x14ac:dyDescent="0.2">
      <c r="A14" s="15" t="s">
        <v>91</v>
      </c>
      <c r="B14" s="12">
        <v>750</v>
      </c>
      <c r="C14" s="12">
        <v>733</v>
      </c>
      <c r="D14" s="12">
        <v>713</v>
      </c>
      <c r="E14" s="12">
        <v>653</v>
      </c>
      <c r="F14" s="12">
        <v>664</v>
      </c>
      <c r="G14" s="12">
        <v>642</v>
      </c>
    </row>
    <row r="15" spans="1:7" x14ac:dyDescent="0.2">
      <c r="A15" s="16" t="s">
        <v>92</v>
      </c>
      <c r="B15" s="14">
        <v>738</v>
      </c>
      <c r="C15" s="14">
        <v>721</v>
      </c>
      <c r="D15" s="14">
        <v>694</v>
      </c>
      <c r="E15" s="14">
        <v>644</v>
      </c>
      <c r="F15" s="14">
        <v>653</v>
      </c>
      <c r="G15" s="17"/>
    </row>
    <row r="16" spans="1:7" x14ac:dyDescent="0.2">
      <c r="A16" s="18" t="s">
        <v>93</v>
      </c>
      <c r="B16" s="4">
        <v>12</v>
      </c>
      <c r="C16" s="4">
        <v>12</v>
      </c>
      <c r="D16" s="4">
        <v>19</v>
      </c>
      <c r="E16" s="4">
        <v>9</v>
      </c>
      <c r="F16" s="4">
        <v>11</v>
      </c>
      <c r="G16" s="19"/>
    </row>
    <row r="17" spans="1:7" x14ac:dyDescent="0.2">
      <c r="A17" s="9" t="s">
        <v>94</v>
      </c>
      <c r="B17" s="10">
        <v>2020</v>
      </c>
      <c r="C17" s="10">
        <v>2694</v>
      </c>
      <c r="D17" s="10">
        <v>1202</v>
      </c>
      <c r="E17" s="10">
        <v>765</v>
      </c>
      <c r="F17" s="10">
        <v>2622</v>
      </c>
      <c r="G17" s="10">
        <v>3502</v>
      </c>
    </row>
    <row r="18" spans="1:7" x14ac:dyDescent="0.2">
      <c r="A18" s="11" t="s">
        <v>95</v>
      </c>
      <c r="B18" s="12">
        <v>312</v>
      </c>
      <c r="C18" s="12">
        <v>279</v>
      </c>
      <c r="D18" s="12">
        <v>307</v>
      </c>
      <c r="E18" s="12">
        <v>233</v>
      </c>
      <c r="F18" s="12">
        <v>258</v>
      </c>
      <c r="G18" s="12">
        <v>251</v>
      </c>
    </row>
    <row r="19" spans="1:7" x14ac:dyDescent="0.2">
      <c r="A19" s="13" t="s">
        <v>96</v>
      </c>
      <c r="B19" s="14">
        <v>32</v>
      </c>
      <c r="C19" s="14">
        <v>31</v>
      </c>
      <c r="D19" s="14">
        <v>27</v>
      </c>
      <c r="E19" s="14">
        <v>27</v>
      </c>
      <c r="F19" s="14">
        <v>31</v>
      </c>
      <c r="G19" s="14">
        <v>34</v>
      </c>
    </row>
    <row r="20" spans="1:7" x14ac:dyDescent="0.2">
      <c r="A20" s="20" t="s">
        <v>97</v>
      </c>
      <c r="B20" s="4">
        <v>280</v>
      </c>
      <c r="C20" s="4">
        <v>248</v>
      </c>
      <c r="D20" s="4">
        <v>280</v>
      </c>
      <c r="E20" s="4">
        <v>206</v>
      </c>
      <c r="F20" s="4">
        <v>227</v>
      </c>
      <c r="G20" s="4">
        <v>217</v>
      </c>
    </row>
    <row r="21" spans="1:7" x14ac:dyDescent="0.2">
      <c r="A21" s="9" t="s">
        <v>98</v>
      </c>
      <c r="B21" s="10">
        <v>1708</v>
      </c>
      <c r="C21" s="10">
        <v>2415</v>
      </c>
      <c r="D21" s="10">
        <v>895</v>
      </c>
      <c r="E21" s="10">
        <v>532</v>
      </c>
      <c r="F21" s="10">
        <v>2364</v>
      </c>
      <c r="G21" s="10">
        <v>3251</v>
      </c>
    </row>
    <row r="22" spans="1:7" x14ac:dyDescent="0.2">
      <c r="A22" s="11" t="s">
        <v>99</v>
      </c>
      <c r="B22" s="12">
        <v>-112</v>
      </c>
      <c r="C22" s="12">
        <v>-166</v>
      </c>
      <c r="D22" s="12">
        <v>-628</v>
      </c>
      <c r="E22" s="12">
        <v>-98</v>
      </c>
      <c r="F22" s="12">
        <v>133</v>
      </c>
      <c r="G22" s="12">
        <v>-84</v>
      </c>
    </row>
    <row r="23" spans="1:7" x14ac:dyDescent="0.2">
      <c r="A23" s="13" t="s">
        <v>100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x14ac:dyDescent="0.2">
      <c r="A24" s="20" t="s">
        <v>101</v>
      </c>
      <c r="B24" s="21">
        <v>-28</v>
      </c>
      <c r="C24" s="21">
        <v>-17</v>
      </c>
      <c r="D24" s="21">
        <v>-49</v>
      </c>
      <c r="E24" s="21">
        <v>-46</v>
      </c>
      <c r="F24" s="4">
        <v>105</v>
      </c>
      <c r="G24" s="4">
        <v>127</v>
      </c>
    </row>
    <row r="25" spans="1:7" x14ac:dyDescent="0.2">
      <c r="A25" s="13" t="s">
        <v>102</v>
      </c>
      <c r="B25" s="22">
        <v>-84</v>
      </c>
      <c r="C25" s="22">
        <v>-149</v>
      </c>
      <c r="D25" s="22">
        <v>-579</v>
      </c>
      <c r="E25" s="22">
        <v>-52</v>
      </c>
      <c r="F25" s="14">
        <v>28</v>
      </c>
      <c r="G25" s="22">
        <v>-211</v>
      </c>
    </row>
    <row r="26" spans="1:7" x14ac:dyDescent="0.2">
      <c r="A26" s="11" t="s">
        <v>103</v>
      </c>
      <c r="B26" s="12">
        <v>104</v>
      </c>
      <c r="C26" s="12">
        <v>122</v>
      </c>
      <c r="D26" s="12">
        <v>121</v>
      </c>
      <c r="E26" s="12">
        <v>146</v>
      </c>
      <c r="F26" s="12">
        <v>195</v>
      </c>
      <c r="G26" s="12">
        <v>141</v>
      </c>
    </row>
    <row r="27" spans="1:7" x14ac:dyDescent="0.2">
      <c r="A27" s="13" t="s">
        <v>104</v>
      </c>
      <c r="B27" s="14">
        <v>121</v>
      </c>
      <c r="C27" s="14">
        <v>136</v>
      </c>
      <c r="D27" s="14">
        <v>134</v>
      </c>
      <c r="E27" s="14">
        <v>155</v>
      </c>
      <c r="F27" s="14">
        <v>201</v>
      </c>
      <c r="G27" s="14">
        <v>141</v>
      </c>
    </row>
    <row r="28" spans="1:7" x14ac:dyDescent="0.2">
      <c r="A28" s="20" t="s">
        <v>105</v>
      </c>
      <c r="B28" s="4">
        <v>17</v>
      </c>
      <c r="C28" s="4">
        <v>14</v>
      </c>
      <c r="D28" s="4">
        <v>13</v>
      </c>
      <c r="E28" s="4">
        <v>9</v>
      </c>
      <c r="F28" s="4">
        <v>6</v>
      </c>
      <c r="G28" s="19"/>
    </row>
    <row r="29" spans="1:7" x14ac:dyDescent="0.2">
      <c r="A29" s="23" t="s">
        <v>106</v>
      </c>
      <c r="B29" s="10">
        <v>333</v>
      </c>
      <c r="C29" s="10">
        <v>502</v>
      </c>
      <c r="D29" s="10">
        <v>584</v>
      </c>
      <c r="E29" s="10">
        <v>115</v>
      </c>
      <c r="F29" s="10">
        <v>1103</v>
      </c>
      <c r="G29" s="10">
        <v>929</v>
      </c>
    </row>
    <row r="30" spans="1:7" x14ac:dyDescent="0.2">
      <c r="A30" s="15" t="s">
        <v>107</v>
      </c>
      <c r="B30" s="12">
        <v>40</v>
      </c>
      <c r="C30" s="12">
        <v>18</v>
      </c>
      <c r="D30" s="12">
        <v>225</v>
      </c>
      <c r="E30" s="12">
        <v>2</v>
      </c>
      <c r="F30" s="24"/>
      <c r="G30" s="24"/>
    </row>
    <row r="31" spans="1:7" x14ac:dyDescent="0.2">
      <c r="A31" s="16" t="s">
        <v>108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x14ac:dyDescent="0.2">
      <c r="A32" s="18" t="s">
        <v>109</v>
      </c>
      <c r="B32" s="4">
        <v>40</v>
      </c>
      <c r="C32" s="4">
        <v>18</v>
      </c>
      <c r="D32" s="4">
        <v>225</v>
      </c>
      <c r="E32" s="4">
        <v>2</v>
      </c>
      <c r="F32" s="19"/>
      <c r="G32" s="19"/>
    </row>
    <row r="33" spans="1:7" x14ac:dyDescent="0.2">
      <c r="A33" s="13" t="s">
        <v>110</v>
      </c>
      <c r="B33" s="14">
        <v>47</v>
      </c>
      <c r="C33" s="14">
        <v>447</v>
      </c>
      <c r="D33" s="14">
        <v>360</v>
      </c>
      <c r="E33" s="14">
        <v>102</v>
      </c>
      <c r="F33" s="14">
        <v>1128</v>
      </c>
      <c r="G33" s="14">
        <v>1138</v>
      </c>
    </row>
    <row r="34" spans="1:7" x14ac:dyDescent="0.2">
      <c r="A34" s="20" t="s">
        <v>111</v>
      </c>
      <c r="B34" s="21">
        <v>-22</v>
      </c>
      <c r="C34" s="4">
        <v>0</v>
      </c>
      <c r="D34" s="4">
        <v>0</v>
      </c>
      <c r="E34" s="19"/>
      <c r="F34" s="19"/>
      <c r="G34" s="19"/>
    </row>
    <row r="35" spans="1:7" x14ac:dyDescent="0.2">
      <c r="A35" s="25" t="s">
        <v>112</v>
      </c>
      <c r="B35" s="10">
        <v>-24</v>
      </c>
      <c r="C35" s="10">
        <v>25</v>
      </c>
      <c r="D35" s="10">
        <v>1</v>
      </c>
      <c r="E35" s="10">
        <v>-11</v>
      </c>
      <c r="F35" s="10">
        <v>25</v>
      </c>
      <c r="G35" s="10">
        <v>209</v>
      </c>
    </row>
    <row r="36" spans="1:7" x14ac:dyDescent="0.2">
      <c r="A36" s="18" t="s">
        <v>113</v>
      </c>
      <c r="B36" s="21">
        <v>-24</v>
      </c>
      <c r="C36" s="4">
        <v>25</v>
      </c>
      <c r="D36" s="4">
        <v>1</v>
      </c>
      <c r="E36" s="21">
        <v>-11</v>
      </c>
      <c r="F36" s="4">
        <v>25</v>
      </c>
      <c r="G36" s="4">
        <v>209</v>
      </c>
    </row>
    <row r="37" spans="1:7" x14ac:dyDescent="0.2">
      <c r="A37" s="25" t="s">
        <v>114</v>
      </c>
      <c r="B37" s="10">
        <v>244</v>
      </c>
      <c r="C37" s="10">
        <v>62</v>
      </c>
      <c r="D37" s="10">
        <v>0</v>
      </c>
      <c r="E37" s="10">
        <v>0</v>
      </c>
      <c r="F37" s="9"/>
      <c r="G37" s="9"/>
    </row>
    <row r="38" spans="1:7" x14ac:dyDescent="0.2">
      <c r="A38" s="18" t="s">
        <v>115</v>
      </c>
      <c r="B38" s="4">
        <v>244</v>
      </c>
      <c r="C38" s="4">
        <v>62</v>
      </c>
      <c r="D38" s="4">
        <v>0</v>
      </c>
      <c r="E38" s="4">
        <v>0</v>
      </c>
      <c r="F38" s="19"/>
      <c r="G38" s="19"/>
    </row>
    <row r="39" spans="1:7" x14ac:dyDescent="0.2">
      <c r="A39" s="9" t="s">
        <v>116</v>
      </c>
      <c r="B39" s="10">
        <v>1159</v>
      </c>
      <c r="C39" s="10">
        <v>1625</v>
      </c>
      <c r="D39" s="10">
        <v>-438</v>
      </c>
      <c r="E39" s="10">
        <v>173</v>
      </c>
      <c r="F39" s="10">
        <v>1199</v>
      </c>
      <c r="G39" s="10">
        <v>2097</v>
      </c>
    </row>
    <row r="40" spans="1:7" x14ac:dyDescent="0.2">
      <c r="A40" s="11" t="s">
        <v>117</v>
      </c>
      <c r="B40" s="12">
        <v>600</v>
      </c>
      <c r="C40" s="12">
        <v>732</v>
      </c>
      <c r="D40" s="12">
        <v>415</v>
      </c>
      <c r="E40" s="12">
        <v>187</v>
      </c>
      <c r="F40" s="12">
        <v>629</v>
      </c>
      <c r="G40" s="12">
        <v>869</v>
      </c>
    </row>
    <row r="41" spans="1:7" x14ac:dyDescent="0.2">
      <c r="A41" s="13" t="s">
        <v>118</v>
      </c>
      <c r="B41" s="14">
        <v>3</v>
      </c>
      <c r="C41" s="14">
        <v>5</v>
      </c>
      <c r="D41" s="22">
        <v>-4</v>
      </c>
      <c r="E41" s="14">
        <v>2</v>
      </c>
      <c r="F41" s="14">
        <v>9</v>
      </c>
      <c r="G41" s="17"/>
    </row>
    <row r="42" spans="1:7" x14ac:dyDescent="0.2">
      <c r="A42" s="20" t="s">
        <v>119</v>
      </c>
      <c r="B42" s="4">
        <v>421</v>
      </c>
      <c r="C42" s="4">
        <v>757</v>
      </c>
      <c r="D42" s="4">
        <v>404</v>
      </c>
      <c r="E42" s="4">
        <v>211</v>
      </c>
      <c r="F42" s="4">
        <v>473</v>
      </c>
      <c r="G42" s="19"/>
    </row>
    <row r="43" spans="1:7" x14ac:dyDescent="0.2">
      <c r="A43" s="13" t="s">
        <v>120</v>
      </c>
      <c r="B43" s="14">
        <v>24</v>
      </c>
      <c r="C43" s="22">
        <v>-21</v>
      </c>
      <c r="D43" s="14">
        <v>2</v>
      </c>
      <c r="E43" s="14">
        <v>0</v>
      </c>
      <c r="F43" s="14">
        <v>6</v>
      </c>
      <c r="G43" s="17"/>
    </row>
    <row r="44" spans="1:7" x14ac:dyDescent="0.2">
      <c r="A44" s="20" t="s">
        <v>121</v>
      </c>
      <c r="B44" s="4">
        <v>152</v>
      </c>
      <c r="C44" s="21">
        <v>-9</v>
      </c>
      <c r="D44" s="4">
        <v>13</v>
      </c>
      <c r="E44" s="21">
        <v>-26</v>
      </c>
      <c r="F44" s="4">
        <v>141</v>
      </c>
      <c r="G44" s="19"/>
    </row>
    <row r="45" spans="1:7" x14ac:dyDescent="0.2">
      <c r="A45" s="9" t="s">
        <v>122</v>
      </c>
      <c r="B45" s="10">
        <v>559</v>
      </c>
      <c r="C45" s="10">
        <v>893</v>
      </c>
      <c r="D45" s="10">
        <v>-853</v>
      </c>
      <c r="E45" s="10">
        <v>-14</v>
      </c>
      <c r="F45" s="10">
        <v>570</v>
      </c>
      <c r="G45" s="10">
        <v>1228</v>
      </c>
    </row>
    <row r="46" spans="1:7" x14ac:dyDescent="0.2">
      <c r="A46" s="26" t="s">
        <v>123</v>
      </c>
      <c r="B46" s="4">
        <v>342</v>
      </c>
      <c r="C46" s="4">
        <v>643</v>
      </c>
      <c r="D46" s="4">
        <v>272</v>
      </c>
      <c r="E46" s="4">
        <v>156</v>
      </c>
      <c r="F46" s="4">
        <v>141</v>
      </c>
      <c r="G46" s="4">
        <v>265</v>
      </c>
    </row>
    <row r="47" spans="1:7" x14ac:dyDescent="0.2">
      <c r="A47" s="9" t="s">
        <v>124</v>
      </c>
      <c r="B47" s="10">
        <v>217</v>
      </c>
      <c r="C47" s="10">
        <v>250</v>
      </c>
      <c r="D47" s="10">
        <v>-1125</v>
      </c>
      <c r="E47" s="10">
        <v>-170</v>
      </c>
      <c r="F47" s="10">
        <v>429</v>
      </c>
      <c r="G47" s="10">
        <v>963</v>
      </c>
    </row>
    <row r="48" spans="1:7" x14ac:dyDescent="0.2">
      <c r="A48" s="26" t="s">
        <v>125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">
      <c r="A49" s="27" t="s">
        <v>126</v>
      </c>
      <c r="B49" s="14">
        <v>217</v>
      </c>
      <c r="C49" s="14">
        <v>250</v>
      </c>
      <c r="D49" s="22">
        <v>-1125</v>
      </c>
      <c r="E49" s="22">
        <v>-170</v>
      </c>
      <c r="F49" s="14">
        <v>429</v>
      </c>
      <c r="G49" s="14">
        <v>963</v>
      </c>
    </row>
    <row r="50" spans="1:7" x14ac:dyDescent="0.2">
      <c r="A50" s="24" t="s">
        <v>127</v>
      </c>
      <c r="B50" s="24"/>
      <c r="C50" s="24"/>
      <c r="D50" s="24"/>
      <c r="E50" s="24"/>
      <c r="F50" s="24"/>
      <c r="G50" s="24"/>
    </row>
    <row r="51" spans="1:7" x14ac:dyDescent="0.2">
      <c r="A51" s="23" t="s">
        <v>128</v>
      </c>
      <c r="B51" s="28">
        <v>2.406952</v>
      </c>
      <c r="C51" s="28">
        <v>3.1820110000000001</v>
      </c>
      <c r="D51" s="28">
        <v>-3.8713510000000002</v>
      </c>
      <c r="E51" s="28">
        <v>-0.48118300000000003</v>
      </c>
      <c r="F51" s="28">
        <v>6.3215789999999998</v>
      </c>
      <c r="G51" s="28">
        <v>8.6736559999999994</v>
      </c>
    </row>
    <row r="52" spans="1:7" x14ac:dyDescent="0.2">
      <c r="A52" s="20" t="s">
        <v>129</v>
      </c>
      <c r="B52" s="29">
        <v>184</v>
      </c>
      <c r="C52" s="29">
        <v>186</v>
      </c>
      <c r="D52" s="29">
        <v>185</v>
      </c>
      <c r="E52" s="29">
        <v>186</v>
      </c>
      <c r="F52" s="29">
        <v>186</v>
      </c>
      <c r="G52" s="29">
        <v>182</v>
      </c>
    </row>
    <row r="53" spans="1:7" x14ac:dyDescent="0.2">
      <c r="A53" s="13" t="s">
        <v>130</v>
      </c>
      <c r="B53" s="30">
        <v>185.20071300000001</v>
      </c>
      <c r="C53" s="30">
        <v>184.77024900000001</v>
      </c>
      <c r="D53" s="30">
        <v>185.58016599999999</v>
      </c>
      <c r="E53" s="30">
        <v>185.978069</v>
      </c>
      <c r="F53" s="30">
        <v>184.09974800000001</v>
      </c>
      <c r="G53" s="30">
        <v>179.92518000000001</v>
      </c>
    </row>
    <row r="54" spans="1:7" x14ac:dyDescent="0.2">
      <c r="A54" s="11" t="s">
        <v>131</v>
      </c>
      <c r="B54" s="31">
        <v>1.1604000000000001</v>
      </c>
      <c r="C54" s="31">
        <v>1.3228</v>
      </c>
      <c r="D54" s="31">
        <v>-6.0811000000000002</v>
      </c>
      <c r="E54" s="31">
        <v>-0.91400000000000003</v>
      </c>
      <c r="F54" s="31">
        <v>2.2578999999999998</v>
      </c>
      <c r="G54" s="31">
        <v>5.0993000000000004</v>
      </c>
    </row>
    <row r="55" spans="1:7" x14ac:dyDescent="0.2">
      <c r="A55" s="13" t="s">
        <v>132</v>
      </c>
      <c r="B55" s="30">
        <v>187</v>
      </c>
      <c r="C55" s="30">
        <v>189</v>
      </c>
      <c r="D55" s="30">
        <v>185</v>
      </c>
      <c r="E55" s="30">
        <v>186</v>
      </c>
      <c r="F55" s="30">
        <v>190</v>
      </c>
      <c r="G55" s="30">
        <v>186</v>
      </c>
    </row>
    <row r="56" spans="1:7" x14ac:dyDescent="0.2">
      <c r="A56" s="20" t="s">
        <v>130</v>
      </c>
      <c r="B56" s="29">
        <v>185.20071300000001</v>
      </c>
      <c r="C56" s="29">
        <v>184.77024900000001</v>
      </c>
      <c r="D56" s="29">
        <v>185.58016599999999</v>
      </c>
      <c r="E56" s="29">
        <v>185.978069</v>
      </c>
      <c r="F56" s="29">
        <v>184.09974800000001</v>
      </c>
      <c r="G56" s="29">
        <v>179.92518000000001</v>
      </c>
    </row>
    <row r="57" spans="1:7" x14ac:dyDescent="0.2">
      <c r="A57" s="27" t="s">
        <v>133</v>
      </c>
      <c r="B57" s="30">
        <v>79.930999999999997</v>
      </c>
      <c r="C57" s="30">
        <v>83.984999999999999</v>
      </c>
      <c r="D57" s="30">
        <v>78.933000000000007</v>
      </c>
      <c r="E57" s="30">
        <v>83.94</v>
      </c>
      <c r="F57" s="30">
        <v>83.947000000000003</v>
      </c>
      <c r="G57" s="17"/>
    </row>
    <row r="58" spans="1:7" x14ac:dyDescent="0.2">
      <c r="A58" s="11" t="s">
        <v>134</v>
      </c>
      <c r="B58" s="31">
        <v>0</v>
      </c>
      <c r="C58" s="31">
        <v>0</v>
      </c>
      <c r="D58" s="31">
        <v>0</v>
      </c>
      <c r="E58" s="31">
        <v>0</v>
      </c>
      <c r="F58" s="31">
        <v>0.1</v>
      </c>
      <c r="G58" s="31">
        <v>0.3</v>
      </c>
    </row>
    <row r="59" spans="1:7" x14ac:dyDescent="0.2">
      <c r="A59" s="13" t="s">
        <v>135</v>
      </c>
      <c r="B59" s="32">
        <v>0</v>
      </c>
      <c r="C59" s="32">
        <v>0</v>
      </c>
      <c r="D59" s="17"/>
      <c r="E59" s="17"/>
      <c r="F59" s="32">
        <v>4.4288939999999997</v>
      </c>
      <c r="G59" s="32">
        <v>5.8831600000000002</v>
      </c>
    </row>
    <row r="60" spans="1:7" x14ac:dyDescent="0.2">
      <c r="A60" s="24" t="s">
        <v>17</v>
      </c>
      <c r="B60" s="24"/>
      <c r="C60" s="24"/>
      <c r="D60" s="24"/>
      <c r="E60" s="24"/>
      <c r="F60" s="24"/>
      <c r="G60" s="24"/>
    </row>
    <row r="61" spans="1:7" x14ac:dyDescent="0.2">
      <c r="A61" s="23" t="s">
        <v>17</v>
      </c>
      <c r="B61" s="10">
        <v>2458</v>
      </c>
      <c r="C61" s="10">
        <v>3148</v>
      </c>
      <c r="D61" s="10">
        <v>1608</v>
      </c>
      <c r="E61" s="10">
        <v>1185</v>
      </c>
      <c r="F61" s="10">
        <v>3028</v>
      </c>
      <c r="G61" s="10">
        <v>3893</v>
      </c>
    </row>
    <row r="62" spans="1:7" x14ac:dyDescent="0.2">
      <c r="A62" s="20" t="s">
        <v>136</v>
      </c>
      <c r="B62" s="4">
        <v>1708</v>
      </c>
      <c r="C62" s="4">
        <v>2415</v>
      </c>
      <c r="D62" s="4">
        <v>895</v>
      </c>
      <c r="E62" s="4">
        <v>532</v>
      </c>
      <c r="F62" s="4">
        <v>2364</v>
      </c>
      <c r="G62" s="4">
        <v>3251</v>
      </c>
    </row>
    <row r="63" spans="1:7" x14ac:dyDescent="0.2">
      <c r="A63" s="13" t="s">
        <v>91</v>
      </c>
      <c r="B63" s="14">
        <v>750</v>
      </c>
      <c r="C63" s="14">
        <v>733</v>
      </c>
      <c r="D63" s="14">
        <v>713</v>
      </c>
      <c r="E63" s="14">
        <v>653</v>
      </c>
      <c r="F63" s="14">
        <v>664</v>
      </c>
      <c r="G63" s="14">
        <v>642</v>
      </c>
    </row>
    <row r="64" spans="1:7" x14ac:dyDescent="0.2">
      <c r="A64" s="33" t="s">
        <v>137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EF88-1D06-DC40-A6AC-FD09BD135D66}">
  <dimension ref="A1:I84"/>
  <sheetViews>
    <sheetView zoomScale="140" zoomScaleNormal="140" workbookViewId="0">
      <selection activeCell="F11" sqref="F11"/>
    </sheetView>
  </sheetViews>
  <sheetFormatPr baseColWidth="10" defaultColWidth="11" defaultRowHeight="16" x14ac:dyDescent="0.2"/>
  <cols>
    <col min="1" max="1" width="65.83203125" customWidth="1"/>
    <col min="2" max="6" width="8" customWidth="1"/>
  </cols>
  <sheetData>
    <row r="1" spans="1:6" x14ac:dyDescent="0.2">
      <c r="A1" s="5" t="s">
        <v>75</v>
      </c>
    </row>
    <row r="2" spans="1:6" x14ac:dyDescent="0.2">
      <c r="A2" s="6" t="s">
        <v>76</v>
      </c>
    </row>
    <row r="3" spans="1:6" x14ac:dyDescent="0.2">
      <c r="A3" s="7"/>
      <c r="B3" s="7"/>
      <c r="C3" s="7"/>
      <c r="D3" s="7"/>
      <c r="E3" s="7"/>
      <c r="F3" s="7"/>
    </row>
    <row r="5" spans="1:6" x14ac:dyDescent="0.2">
      <c r="A5" s="8" t="s">
        <v>77</v>
      </c>
      <c r="B5" s="8"/>
      <c r="C5" s="8"/>
      <c r="D5" s="8"/>
      <c r="E5" s="8"/>
      <c r="F5" s="8"/>
    </row>
    <row r="6" spans="1:6" x14ac:dyDescent="0.2">
      <c r="A6" s="8" t="s">
        <v>78</v>
      </c>
      <c r="B6" s="8"/>
      <c r="C6" s="8"/>
      <c r="D6" s="8"/>
      <c r="E6" s="8"/>
      <c r="F6" s="8"/>
    </row>
    <row r="7" spans="1:6" x14ac:dyDescent="0.2">
      <c r="A7" s="8" t="s">
        <v>79</v>
      </c>
      <c r="B7" s="8"/>
      <c r="C7" s="8"/>
      <c r="D7" s="8"/>
      <c r="E7" s="8"/>
      <c r="F7" s="8"/>
    </row>
    <row r="8" spans="1:6" x14ac:dyDescent="0.2">
      <c r="A8" s="8"/>
      <c r="B8" s="8" t="s">
        <v>85</v>
      </c>
      <c r="C8" s="8" t="s">
        <v>84</v>
      </c>
      <c r="D8" s="8" t="s">
        <v>83</v>
      </c>
      <c r="E8" s="8" t="s">
        <v>82</v>
      </c>
      <c r="F8" s="8" t="s">
        <v>81</v>
      </c>
    </row>
    <row r="9" spans="1:6" x14ac:dyDescent="0.2">
      <c r="A9" s="8"/>
      <c r="B9" s="8" t="s">
        <v>87</v>
      </c>
      <c r="C9" s="8" t="s">
        <v>87</v>
      </c>
      <c r="D9" s="8"/>
      <c r="E9" s="8"/>
      <c r="F9" s="8"/>
    </row>
    <row r="10" spans="1:6" x14ac:dyDescent="0.2">
      <c r="A10" s="24" t="s">
        <v>187</v>
      </c>
      <c r="B10" s="24"/>
      <c r="C10" s="24"/>
      <c r="D10" s="24"/>
      <c r="E10" s="24"/>
      <c r="F10" s="24"/>
    </row>
    <row r="11" spans="1:6" x14ac:dyDescent="0.2">
      <c r="A11" s="23" t="s">
        <v>188</v>
      </c>
      <c r="B11" s="10">
        <v>1478</v>
      </c>
      <c r="C11" s="10">
        <v>1189</v>
      </c>
      <c r="D11" s="10">
        <v>942</v>
      </c>
      <c r="E11" s="10">
        <v>1631</v>
      </c>
      <c r="F11" s="10">
        <v>1938</v>
      </c>
    </row>
    <row r="12" spans="1:6" x14ac:dyDescent="0.2">
      <c r="A12" s="20" t="s">
        <v>189</v>
      </c>
      <c r="B12" s="4">
        <v>1365</v>
      </c>
      <c r="C12" s="4">
        <v>1116</v>
      </c>
      <c r="D12" s="4">
        <v>883</v>
      </c>
      <c r="E12" s="4">
        <v>1610</v>
      </c>
      <c r="F12" s="4">
        <v>1924</v>
      </c>
    </row>
    <row r="13" spans="1:6" x14ac:dyDescent="0.2">
      <c r="A13" s="13" t="s">
        <v>190</v>
      </c>
      <c r="B13" s="14">
        <v>113</v>
      </c>
      <c r="C13" s="14">
        <v>73</v>
      </c>
      <c r="D13" s="14">
        <v>59</v>
      </c>
      <c r="E13" s="14">
        <v>21</v>
      </c>
      <c r="F13" s="14">
        <v>14</v>
      </c>
    </row>
    <row r="14" spans="1:6" x14ac:dyDescent="0.2">
      <c r="A14" s="11" t="s">
        <v>191</v>
      </c>
      <c r="B14" s="12">
        <v>1043</v>
      </c>
      <c r="C14" s="12">
        <v>1003</v>
      </c>
      <c r="D14" s="12">
        <v>660</v>
      </c>
      <c r="E14" s="12">
        <v>556</v>
      </c>
      <c r="F14" s="12">
        <v>884</v>
      </c>
    </row>
    <row r="15" spans="1:6" x14ac:dyDescent="0.2">
      <c r="A15" s="25" t="s">
        <v>192</v>
      </c>
      <c r="B15" s="10">
        <v>811</v>
      </c>
      <c r="C15" s="10">
        <v>830</v>
      </c>
      <c r="D15" s="10">
        <v>546</v>
      </c>
      <c r="E15" s="10">
        <v>471</v>
      </c>
      <c r="F15" s="10">
        <v>757</v>
      </c>
    </row>
    <row r="16" spans="1:6" x14ac:dyDescent="0.2">
      <c r="A16" s="18" t="s">
        <v>193</v>
      </c>
      <c r="B16" s="4">
        <v>811</v>
      </c>
      <c r="C16" s="4">
        <v>830</v>
      </c>
      <c r="D16" s="4">
        <v>546</v>
      </c>
      <c r="E16" s="4">
        <v>471</v>
      </c>
      <c r="F16" s="4">
        <v>757</v>
      </c>
    </row>
    <row r="17" spans="1:6" x14ac:dyDescent="0.2">
      <c r="A17" s="16" t="s">
        <v>194</v>
      </c>
      <c r="B17" s="17"/>
      <c r="C17" s="17"/>
      <c r="D17" s="17"/>
      <c r="E17" s="17"/>
      <c r="F17" s="17"/>
    </row>
    <row r="18" spans="1:6" x14ac:dyDescent="0.2">
      <c r="A18" s="20" t="s">
        <v>195</v>
      </c>
      <c r="B18" s="4">
        <v>232</v>
      </c>
      <c r="C18" s="4">
        <v>173</v>
      </c>
      <c r="D18" s="4">
        <v>114</v>
      </c>
      <c r="E18" s="4">
        <v>85</v>
      </c>
      <c r="F18" s="4">
        <v>127</v>
      </c>
    </row>
    <row r="19" spans="1:6" x14ac:dyDescent="0.2">
      <c r="A19" s="23" t="s">
        <v>24</v>
      </c>
      <c r="B19" s="10">
        <v>1453</v>
      </c>
      <c r="C19" s="10">
        <v>1819</v>
      </c>
      <c r="D19" s="10">
        <v>1644</v>
      </c>
      <c r="E19" s="10">
        <v>1398</v>
      </c>
      <c r="F19" s="10">
        <v>1956</v>
      </c>
    </row>
    <row r="20" spans="1:6" x14ac:dyDescent="0.2">
      <c r="A20" s="20" t="s">
        <v>196</v>
      </c>
      <c r="B20" s="4">
        <v>296</v>
      </c>
      <c r="C20" s="4">
        <v>346</v>
      </c>
      <c r="D20" s="4">
        <v>305</v>
      </c>
      <c r="E20" s="4">
        <v>321</v>
      </c>
      <c r="F20" s="4">
        <v>538</v>
      </c>
    </row>
    <row r="21" spans="1:6" x14ac:dyDescent="0.2">
      <c r="A21" s="13" t="s">
        <v>197</v>
      </c>
      <c r="B21" s="14">
        <v>258</v>
      </c>
      <c r="C21" s="14">
        <v>189</v>
      </c>
      <c r="D21" s="14">
        <v>282</v>
      </c>
      <c r="E21" s="14">
        <v>112</v>
      </c>
      <c r="F21" s="14">
        <v>85</v>
      </c>
    </row>
    <row r="22" spans="1:6" x14ac:dyDescent="0.2">
      <c r="A22" s="20" t="s">
        <v>198</v>
      </c>
      <c r="B22" s="4">
        <v>1205</v>
      </c>
      <c r="C22" s="4">
        <v>1284</v>
      </c>
      <c r="D22" s="4">
        <v>1057</v>
      </c>
      <c r="E22" s="4">
        <v>965</v>
      </c>
      <c r="F22" s="4">
        <v>1333</v>
      </c>
    </row>
    <row r="23" spans="1:6" x14ac:dyDescent="0.2">
      <c r="A23" s="13" t="s">
        <v>199</v>
      </c>
      <c r="B23" s="22">
        <v>-306</v>
      </c>
      <c r="C23" s="14">
        <v>0</v>
      </c>
      <c r="D23" s="14">
        <v>0</v>
      </c>
      <c r="E23" s="14">
        <v>0</v>
      </c>
      <c r="F23" s="14">
        <v>0</v>
      </c>
    </row>
    <row r="24" spans="1:6" x14ac:dyDescent="0.2">
      <c r="A24" s="11" t="s">
        <v>200</v>
      </c>
      <c r="B24" s="12">
        <v>264</v>
      </c>
      <c r="C24" s="12">
        <v>317</v>
      </c>
      <c r="D24" s="12">
        <v>284</v>
      </c>
      <c r="E24" s="12">
        <v>935</v>
      </c>
      <c r="F24" s="12">
        <v>248</v>
      </c>
    </row>
    <row r="25" spans="1:6" x14ac:dyDescent="0.2">
      <c r="A25" s="13" t="s">
        <v>201</v>
      </c>
      <c r="B25" s="14">
        <v>264</v>
      </c>
      <c r="C25" s="14">
        <v>317</v>
      </c>
      <c r="D25" s="14">
        <v>284</v>
      </c>
      <c r="E25" s="14">
        <v>935</v>
      </c>
      <c r="F25" s="14">
        <v>248</v>
      </c>
    </row>
    <row r="26" spans="1:6" x14ac:dyDescent="0.2">
      <c r="A26" s="26" t="s">
        <v>202</v>
      </c>
      <c r="B26" s="4">
        <v>4238</v>
      </c>
      <c r="C26" s="4">
        <v>4328</v>
      </c>
      <c r="D26" s="4">
        <v>3530</v>
      </c>
      <c r="E26" s="4">
        <v>4520</v>
      </c>
      <c r="F26" s="4">
        <v>5026</v>
      </c>
    </row>
    <row r="27" spans="1:6" x14ac:dyDescent="0.2">
      <c r="A27" s="23" t="s">
        <v>203</v>
      </c>
      <c r="B27" s="10">
        <v>9138</v>
      </c>
      <c r="C27" s="10">
        <v>8327</v>
      </c>
      <c r="D27" s="10">
        <v>7916</v>
      </c>
      <c r="E27" s="10">
        <v>7190</v>
      </c>
      <c r="F27" s="10">
        <v>6623</v>
      </c>
    </row>
    <row r="28" spans="1:6" x14ac:dyDescent="0.2">
      <c r="A28" s="15" t="s">
        <v>204</v>
      </c>
      <c r="B28" s="12">
        <v>23046</v>
      </c>
      <c r="C28" s="12">
        <v>21807</v>
      </c>
      <c r="D28" s="12">
        <v>21715</v>
      </c>
      <c r="E28" s="12">
        <v>20522</v>
      </c>
      <c r="F28" s="12">
        <v>19753</v>
      </c>
    </row>
    <row r="29" spans="1:6" x14ac:dyDescent="0.2">
      <c r="A29" s="16" t="s">
        <v>205</v>
      </c>
      <c r="B29" s="14">
        <v>346</v>
      </c>
      <c r="C29" s="14">
        <v>328</v>
      </c>
      <c r="D29" s="14">
        <v>333</v>
      </c>
      <c r="E29" s="14">
        <v>320</v>
      </c>
      <c r="F29" s="14">
        <v>264</v>
      </c>
    </row>
    <row r="30" spans="1:6" x14ac:dyDescent="0.2">
      <c r="A30" s="18" t="s">
        <v>206</v>
      </c>
      <c r="B30" s="4">
        <v>13557</v>
      </c>
      <c r="C30" s="4">
        <v>12773</v>
      </c>
      <c r="D30" s="4">
        <v>12935</v>
      </c>
      <c r="E30" s="4">
        <v>12117</v>
      </c>
      <c r="F30" s="4">
        <v>11676</v>
      </c>
    </row>
    <row r="31" spans="1:6" x14ac:dyDescent="0.2">
      <c r="A31" s="16" t="s">
        <v>207</v>
      </c>
      <c r="B31" s="14">
        <v>387</v>
      </c>
      <c r="C31" s="14">
        <v>406</v>
      </c>
      <c r="D31" s="14">
        <v>321</v>
      </c>
      <c r="E31" s="14">
        <v>335</v>
      </c>
      <c r="F31" s="14">
        <v>288</v>
      </c>
    </row>
    <row r="32" spans="1:6" x14ac:dyDescent="0.2">
      <c r="A32" s="18" t="s">
        <v>208</v>
      </c>
      <c r="B32" s="4">
        <v>8756</v>
      </c>
      <c r="C32" s="4">
        <v>8300</v>
      </c>
      <c r="D32" s="4">
        <v>8126</v>
      </c>
      <c r="E32" s="4">
        <v>7750</v>
      </c>
      <c r="F32" s="4">
        <v>7525</v>
      </c>
    </row>
    <row r="33" spans="1:6" x14ac:dyDescent="0.2">
      <c r="A33" s="16" t="s">
        <v>209</v>
      </c>
      <c r="B33" s="17"/>
      <c r="C33" s="17"/>
      <c r="D33" s="14">
        <v>154</v>
      </c>
      <c r="E33" s="14">
        <v>137</v>
      </c>
      <c r="F33" s="14">
        <v>97</v>
      </c>
    </row>
    <row r="34" spans="1:6" x14ac:dyDescent="0.2">
      <c r="A34" s="20" t="s">
        <v>210</v>
      </c>
      <c r="B34" s="4">
        <v>13908</v>
      </c>
      <c r="C34" s="4">
        <v>13480</v>
      </c>
      <c r="D34" s="4">
        <v>13799</v>
      </c>
      <c r="E34" s="4">
        <v>13332</v>
      </c>
      <c r="F34" s="4">
        <v>13130</v>
      </c>
    </row>
    <row r="35" spans="1:6" x14ac:dyDescent="0.2">
      <c r="A35" s="23" t="s">
        <v>211</v>
      </c>
      <c r="B35" s="10">
        <v>1538</v>
      </c>
      <c r="C35" s="10">
        <v>1442</v>
      </c>
      <c r="D35" s="10">
        <v>1131</v>
      </c>
      <c r="E35" s="10">
        <v>1051</v>
      </c>
      <c r="F35" s="10">
        <v>1312</v>
      </c>
    </row>
    <row r="36" spans="1:6" x14ac:dyDescent="0.2">
      <c r="A36" s="20" t="s">
        <v>212</v>
      </c>
      <c r="B36" s="4">
        <v>1400</v>
      </c>
      <c r="C36" s="4">
        <v>1350</v>
      </c>
      <c r="D36" s="4">
        <v>1103</v>
      </c>
      <c r="E36" s="4">
        <v>1041</v>
      </c>
      <c r="F36" s="4">
        <v>1189</v>
      </c>
    </row>
    <row r="37" spans="1:6" x14ac:dyDescent="0.2">
      <c r="A37" s="13" t="s">
        <v>213</v>
      </c>
      <c r="B37" s="14">
        <v>138</v>
      </c>
      <c r="C37" s="14">
        <v>92</v>
      </c>
      <c r="D37" s="14">
        <v>28</v>
      </c>
      <c r="E37" s="14">
        <v>10</v>
      </c>
      <c r="F37" s="14">
        <v>123</v>
      </c>
    </row>
    <row r="38" spans="1:6" x14ac:dyDescent="0.2">
      <c r="A38" s="20" t="s">
        <v>214</v>
      </c>
      <c r="B38" s="19"/>
      <c r="C38" s="19"/>
      <c r="D38" s="19"/>
      <c r="E38" s="19"/>
      <c r="F38" s="19"/>
    </row>
    <row r="39" spans="1:6" x14ac:dyDescent="0.2">
      <c r="A39" s="23" t="s">
        <v>215</v>
      </c>
      <c r="B39" s="10">
        <v>216</v>
      </c>
      <c r="C39" s="10">
        <v>208</v>
      </c>
      <c r="D39" s="10">
        <v>202</v>
      </c>
      <c r="E39" s="10">
        <v>190</v>
      </c>
      <c r="F39" s="10">
        <v>179</v>
      </c>
    </row>
    <row r="40" spans="1:6" x14ac:dyDescent="0.2">
      <c r="A40" s="20" t="s">
        <v>108</v>
      </c>
      <c r="B40" s="4">
        <v>154</v>
      </c>
      <c r="C40" s="4">
        <v>151</v>
      </c>
      <c r="D40" s="4">
        <v>150</v>
      </c>
      <c r="E40" s="4">
        <v>145</v>
      </c>
      <c r="F40" s="4">
        <v>144</v>
      </c>
    </row>
    <row r="41" spans="1:6" x14ac:dyDescent="0.2">
      <c r="A41" s="13" t="s">
        <v>216</v>
      </c>
      <c r="B41" s="14">
        <v>62</v>
      </c>
      <c r="C41" s="14">
        <v>57</v>
      </c>
      <c r="D41" s="14">
        <v>52</v>
      </c>
      <c r="E41" s="14">
        <v>45</v>
      </c>
      <c r="F41" s="14">
        <v>35</v>
      </c>
    </row>
    <row r="42" spans="1:6" x14ac:dyDescent="0.2">
      <c r="A42" s="26" t="s">
        <v>217</v>
      </c>
      <c r="B42" s="4">
        <v>814</v>
      </c>
      <c r="C42" s="4">
        <v>560</v>
      </c>
      <c r="D42" s="4">
        <v>642</v>
      </c>
      <c r="E42" s="4">
        <v>655</v>
      </c>
      <c r="F42" s="4">
        <v>506</v>
      </c>
    </row>
    <row r="43" spans="1:6" x14ac:dyDescent="0.2">
      <c r="A43" s="23" t="s">
        <v>218</v>
      </c>
      <c r="B43" s="10">
        <v>1503</v>
      </c>
      <c r="C43" s="10">
        <v>1267</v>
      </c>
      <c r="D43" s="10">
        <v>1210</v>
      </c>
      <c r="E43" s="10">
        <v>1254</v>
      </c>
      <c r="F43" s="10">
        <v>1379</v>
      </c>
    </row>
    <row r="44" spans="1:6" x14ac:dyDescent="0.2">
      <c r="A44" s="20" t="s">
        <v>219</v>
      </c>
      <c r="B44" s="4">
        <v>1021</v>
      </c>
      <c r="C44" s="4">
        <v>919</v>
      </c>
      <c r="D44" s="4">
        <v>875</v>
      </c>
      <c r="E44" s="4">
        <v>890</v>
      </c>
      <c r="F44" s="4">
        <v>1072</v>
      </c>
    </row>
    <row r="45" spans="1:6" x14ac:dyDescent="0.2">
      <c r="A45" s="13" t="s">
        <v>220</v>
      </c>
      <c r="B45" s="14">
        <v>482</v>
      </c>
      <c r="C45" s="14">
        <v>348</v>
      </c>
      <c r="D45" s="14">
        <v>335</v>
      </c>
      <c r="E45" s="14">
        <v>364</v>
      </c>
      <c r="F45" s="14">
        <v>307</v>
      </c>
    </row>
    <row r="46" spans="1:6" x14ac:dyDescent="0.2">
      <c r="A46" s="26" t="s">
        <v>221</v>
      </c>
      <c r="B46" s="4">
        <v>17447</v>
      </c>
      <c r="C46" s="4">
        <v>16132</v>
      </c>
      <c r="D46" s="4">
        <v>14631</v>
      </c>
      <c r="E46" s="4">
        <v>14860</v>
      </c>
      <c r="F46" s="4">
        <v>15025</v>
      </c>
    </row>
    <row r="47" spans="1:6" x14ac:dyDescent="0.2">
      <c r="A47" s="9" t="s">
        <v>222</v>
      </c>
      <c r="B47" s="9"/>
      <c r="C47" s="9"/>
      <c r="D47" s="9"/>
      <c r="E47" s="9"/>
      <c r="F47" s="9"/>
    </row>
    <row r="48" spans="1:6" x14ac:dyDescent="0.2">
      <c r="A48" s="11" t="s">
        <v>223</v>
      </c>
      <c r="B48" s="24"/>
      <c r="C48" s="24"/>
      <c r="D48" s="24"/>
      <c r="E48" s="24"/>
      <c r="F48" s="24"/>
    </row>
    <row r="49" spans="1:6" x14ac:dyDescent="0.2">
      <c r="A49" s="13" t="s">
        <v>224</v>
      </c>
      <c r="B49" s="14">
        <v>16</v>
      </c>
      <c r="C49" s="14">
        <v>1</v>
      </c>
      <c r="D49" s="14">
        <v>62</v>
      </c>
      <c r="E49" s="14">
        <v>62</v>
      </c>
      <c r="F49" s="14">
        <v>36</v>
      </c>
    </row>
    <row r="50" spans="1:6" x14ac:dyDescent="0.2">
      <c r="A50" s="20" t="s">
        <v>150</v>
      </c>
      <c r="B50" s="4">
        <v>1898</v>
      </c>
      <c r="C50" s="4">
        <v>1663</v>
      </c>
      <c r="D50" s="4">
        <v>1484</v>
      </c>
      <c r="E50" s="4">
        <v>1403</v>
      </c>
      <c r="F50" s="4">
        <v>1674</v>
      </c>
    </row>
    <row r="51" spans="1:6" x14ac:dyDescent="0.2">
      <c r="A51" s="13" t="s">
        <v>225</v>
      </c>
      <c r="B51" s="14">
        <v>282</v>
      </c>
      <c r="C51" s="14">
        <v>426</v>
      </c>
      <c r="D51" s="14">
        <v>104</v>
      </c>
      <c r="E51" s="14">
        <v>91</v>
      </c>
      <c r="F51" s="14">
        <v>374</v>
      </c>
    </row>
    <row r="52" spans="1:6" x14ac:dyDescent="0.2">
      <c r="A52" s="15" t="s">
        <v>226</v>
      </c>
      <c r="B52" s="12">
        <v>1056</v>
      </c>
      <c r="C52" s="12">
        <v>829</v>
      </c>
      <c r="D52" s="12">
        <v>913</v>
      </c>
      <c r="E52" s="12">
        <v>1205</v>
      </c>
      <c r="F52" s="12">
        <v>1139</v>
      </c>
    </row>
    <row r="53" spans="1:6" x14ac:dyDescent="0.2">
      <c r="A53" s="16" t="s">
        <v>227</v>
      </c>
      <c r="B53" s="14">
        <v>459</v>
      </c>
      <c r="C53" s="14">
        <v>400</v>
      </c>
      <c r="D53" s="14">
        <v>413</v>
      </c>
      <c r="E53" s="14">
        <v>395</v>
      </c>
      <c r="F53" s="14">
        <v>383</v>
      </c>
    </row>
    <row r="54" spans="1:6" x14ac:dyDescent="0.2">
      <c r="A54" s="18" t="s">
        <v>228</v>
      </c>
      <c r="B54" s="4">
        <v>597</v>
      </c>
      <c r="C54" s="4">
        <v>429</v>
      </c>
      <c r="D54" s="4">
        <v>500</v>
      </c>
      <c r="E54" s="4">
        <v>810</v>
      </c>
      <c r="F54" s="4">
        <v>756</v>
      </c>
    </row>
    <row r="55" spans="1:6" x14ac:dyDescent="0.2">
      <c r="A55" s="13" t="s">
        <v>229</v>
      </c>
      <c r="B55" s="14">
        <v>3252</v>
      </c>
      <c r="C55" s="14">
        <v>2919</v>
      </c>
      <c r="D55" s="14">
        <v>2563</v>
      </c>
      <c r="E55" s="14">
        <v>2761</v>
      </c>
      <c r="F55" s="14">
        <v>3223</v>
      </c>
    </row>
    <row r="56" spans="1:6" x14ac:dyDescent="0.2">
      <c r="A56" s="11" t="s">
        <v>230</v>
      </c>
      <c r="B56" s="24"/>
      <c r="C56" s="24"/>
      <c r="D56" s="24"/>
      <c r="E56" s="24"/>
      <c r="F56" s="24"/>
    </row>
    <row r="57" spans="1:6" x14ac:dyDescent="0.2">
      <c r="A57" s="25" t="s">
        <v>231</v>
      </c>
      <c r="B57" s="10">
        <v>1388</v>
      </c>
      <c r="C57" s="10">
        <v>1801</v>
      </c>
      <c r="D57" s="10">
        <v>1899</v>
      </c>
      <c r="E57" s="10">
        <v>2545</v>
      </c>
      <c r="F57" s="10">
        <v>1790</v>
      </c>
    </row>
    <row r="58" spans="1:6" x14ac:dyDescent="0.2">
      <c r="A58" s="18" t="s">
        <v>232</v>
      </c>
      <c r="B58" s="4">
        <v>1388</v>
      </c>
      <c r="C58" s="4">
        <v>1801</v>
      </c>
      <c r="D58" s="4">
        <v>1799</v>
      </c>
      <c r="E58" s="4">
        <v>2463</v>
      </c>
      <c r="F58" s="4">
        <v>1726</v>
      </c>
    </row>
    <row r="59" spans="1:6" x14ac:dyDescent="0.2">
      <c r="A59" s="16" t="s">
        <v>233</v>
      </c>
      <c r="B59" s="14">
        <v>0</v>
      </c>
      <c r="C59" s="14">
        <v>0</v>
      </c>
      <c r="D59" s="14">
        <v>100</v>
      </c>
      <c r="E59" s="14">
        <v>82</v>
      </c>
      <c r="F59" s="14">
        <v>64</v>
      </c>
    </row>
    <row r="60" spans="1:6" x14ac:dyDescent="0.2">
      <c r="A60" s="20" t="s">
        <v>234</v>
      </c>
      <c r="B60" s="4">
        <v>4316</v>
      </c>
      <c r="C60" s="4">
        <v>3040</v>
      </c>
      <c r="D60" s="4">
        <v>3156</v>
      </c>
      <c r="E60" s="4">
        <v>3154</v>
      </c>
      <c r="F60" s="4">
        <v>1954</v>
      </c>
    </row>
    <row r="61" spans="1:6" x14ac:dyDescent="0.2">
      <c r="A61" s="13" t="s">
        <v>235</v>
      </c>
      <c r="B61" s="17"/>
      <c r="C61" s="17"/>
      <c r="D61" s="17"/>
      <c r="E61" s="14">
        <v>169</v>
      </c>
      <c r="F61" s="14">
        <v>174</v>
      </c>
    </row>
    <row r="62" spans="1:6" x14ac:dyDescent="0.2">
      <c r="A62" s="15" t="s">
        <v>236</v>
      </c>
      <c r="B62" s="12">
        <v>1693</v>
      </c>
      <c r="C62" s="12">
        <v>784</v>
      </c>
      <c r="D62" s="12">
        <v>1127</v>
      </c>
      <c r="E62" s="12">
        <v>1215</v>
      </c>
      <c r="F62" s="12">
        <v>1600</v>
      </c>
    </row>
    <row r="63" spans="1:6" x14ac:dyDescent="0.2">
      <c r="A63" s="16" t="s">
        <v>237</v>
      </c>
      <c r="B63" s="14">
        <v>1625</v>
      </c>
      <c r="C63" s="14">
        <v>723</v>
      </c>
      <c r="D63" s="14">
        <v>1075</v>
      </c>
      <c r="E63" s="14">
        <v>1170</v>
      </c>
      <c r="F63" s="14">
        <v>1564</v>
      </c>
    </row>
    <row r="64" spans="1:6" x14ac:dyDescent="0.2">
      <c r="A64" s="18" t="s">
        <v>238</v>
      </c>
      <c r="B64" s="4">
        <v>68</v>
      </c>
      <c r="C64" s="4">
        <v>61</v>
      </c>
      <c r="D64" s="4">
        <v>52</v>
      </c>
      <c r="E64" s="4">
        <v>45</v>
      </c>
      <c r="F64" s="4">
        <v>36</v>
      </c>
    </row>
    <row r="65" spans="1:9" x14ac:dyDescent="0.2">
      <c r="A65" s="13" t="s">
        <v>239</v>
      </c>
      <c r="B65" s="14">
        <v>10649</v>
      </c>
      <c r="C65" s="14">
        <v>8544</v>
      </c>
      <c r="D65" s="14">
        <v>8745</v>
      </c>
      <c r="E65" s="14">
        <v>9844</v>
      </c>
      <c r="F65" s="14">
        <v>8741</v>
      </c>
    </row>
    <row r="66" spans="1:9" x14ac:dyDescent="0.2">
      <c r="A66" s="11" t="s">
        <v>240</v>
      </c>
      <c r="B66" s="24"/>
      <c r="C66" s="24"/>
      <c r="D66" s="24"/>
      <c r="E66" s="24"/>
      <c r="F66" s="24"/>
    </row>
    <row r="67" spans="1:9" x14ac:dyDescent="0.2">
      <c r="A67" s="25" t="s">
        <v>241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</row>
    <row r="68" spans="1:9" x14ac:dyDescent="0.2">
      <c r="A68" s="18" t="s">
        <v>242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</row>
    <row r="69" spans="1:9" x14ac:dyDescent="0.2">
      <c r="A69" s="25" t="s">
        <v>243</v>
      </c>
      <c r="B69" s="10">
        <v>4523</v>
      </c>
      <c r="C69" s="10">
        <v>5618</v>
      </c>
      <c r="D69" s="10">
        <v>4112</v>
      </c>
      <c r="E69" s="10">
        <v>3311</v>
      </c>
      <c r="F69" s="10">
        <v>4672</v>
      </c>
    </row>
    <row r="70" spans="1:9" x14ac:dyDescent="0.2">
      <c r="A70" s="18" t="s">
        <v>244</v>
      </c>
      <c r="B70" s="4">
        <v>2</v>
      </c>
      <c r="C70" s="4">
        <v>2</v>
      </c>
      <c r="D70" s="4">
        <v>2</v>
      </c>
      <c r="E70" s="4">
        <v>2</v>
      </c>
      <c r="F70" s="4">
        <v>2</v>
      </c>
    </row>
    <row r="71" spans="1:9" x14ac:dyDescent="0.2">
      <c r="A71" s="16" t="s">
        <v>245</v>
      </c>
      <c r="B71" s="14">
        <v>9590</v>
      </c>
      <c r="C71" s="14">
        <v>9611</v>
      </c>
      <c r="D71" s="14">
        <v>9639</v>
      </c>
      <c r="E71" s="14">
        <v>9663</v>
      </c>
      <c r="F71" s="14">
        <v>9577</v>
      </c>
    </row>
    <row r="72" spans="1:9" x14ac:dyDescent="0.2">
      <c r="A72" s="18" t="s">
        <v>246</v>
      </c>
      <c r="B72" s="4">
        <v>113</v>
      </c>
      <c r="C72" s="4">
        <v>570</v>
      </c>
      <c r="D72" s="21">
        <v>-555</v>
      </c>
      <c r="E72" s="21">
        <v>-725</v>
      </c>
      <c r="F72" s="21">
        <v>-315</v>
      </c>
    </row>
    <row r="73" spans="1:9" x14ac:dyDescent="0.2">
      <c r="A73" s="16" t="s">
        <v>247</v>
      </c>
      <c r="B73" s="22">
        <v>-1467</v>
      </c>
      <c r="C73" s="22">
        <v>-2071</v>
      </c>
      <c r="D73" s="22">
        <v>-2160</v>
      </c>
      <c r="E73" s="22">
        <v>-2385</v>
      </c>
      <c r="F73" s="22">
        <v>-2614</v>
      </c>
    </row>
    <row r="74" spans="1:9" x14ac:dyDescent="0.2">
      <c r="A74" s="18" t="s">
        <v>248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</row>
    <row r="75" spans="1:9" x14ac:dyDescent="0.2">
      <c r="A75" s="16" t="s">
        <v>249</v>
      </c>
      <c r="B75" s="22">
        <v>-3715</v>
      </c>
      <c r="C75" s="22">
        <v>-2494</v>
      </c>
      <c r="D75" s="22">
        <v>-2814</v>
      </c>
      <c r="E75" s="22">
        <v>-3244</v>
      </c>
      <c r="F75" s="22">
        <v>-1978</v>
      </c>
      <c r="H75" s="3"/>
      <c r="I75" s="3"/>
    </row>
    <row r="76" spans="1:9" x14ac:dyDescent="0.2">
      <c r="A76" s="18" t="s">
        <v>250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</row>
    <row r="77" spans="1:9" x14ac:dyDescent="0.2">
      <c r="A77" s="13" t="s">
        <v>251</v>
      </c>
      <c r="B77" s="14">
        <v>4523</v>
      </c>
      <c r="C77" s="14">
        <v>5618</v>
      </c>
      <c r="D77" s="14">
        <v>4112</v>
      </c>
      <c r="E77" s="14">
        <v>3311</v>
      </c>
      <c r="F77" s="14">
        <v>4672</v>
      </c>
    </row>
    <row r="78" spans="1:9" x14ac:dyDescent="0.2">
      <c r="A78" s="20" t="s">
        <v>252</v>
      </c>
      <c r="B78" s="4">
        <v>2275</v>
      </c>
      <c r="C78" s="4">
        <v>1970</v>
      </c>
      <c r="D78" s="4">
        <v>1774</v>
      </c>
      <c r="E78" s="4">
        <v>1705</v>
      </c>
      <c r="F78" s="4">
        <v>1612</v>
      </c>
    </row>
    <row r="79" spans="1:9" x14ac:dyDescent="0.2">
      <c r="A79" s="13" t="s">
        <v>253</v>
      </c>
      <c r="B79" s="14">
        <v>6798</v>
      </c>
      <c r="C79" s="14">
        <v>7588</v>
      </c>
      <c r="D79" s="14">
        <v>5886</v>
      </c>
      <c r="E79" s="14">
        <v>5016</v>
      </c>
      <c r="F79" s="14">
        <v>6284</v>
      </c>
    </row>
    <row r="80" spans="1:9" x14ac:dyDescent="0.2">
      <c r="A80" s="26" t="s">
        <v>254</v>
      </c>
      <c r="B80" s="4">
        <v>17447</v>
      </c>
      <c r="C80" s="4">
        <v>16132</v>
      </c>
      <c r="D80" s="4">
        <v>14631</v>
      </c>
      <c r="E80" s="4">
        <v>14860</v>
      </c>
      <c r="F80" s="4">
        <v>15025</v>
      </c>
    </row>
    <row r="81" spans="1:6" x14ac:dyDescent="0.2">
      <c r="A81" s="9" t="s">
        <v>127</v>
      </c>
      <c r="B81" s="9"/>
      <c r="C81" s="9"/>
      <c r="D81" s="9"/>
      <c r="E81" s="9"/>
      <c r="F81" s="9"/>
    </row>
    <row r="82" spans="1:6" x14ac:dyDescent="0.2">
      <c r="A82" s="26" t="s">
        <v>255</v>
      </c>
      <c r="B82" s="29">
        <v>24.422149999999998</v>
      </c>
      <c r="C82" s="29">
        <v>30.405329999999999</v>
      </c>
      <c r="D82" s="29">
        <v>22.157540000000001</v>
      </c>
      <c r="E82" s="29">
        <v>17.803170000000001</v>
      </c>
      <c r="F82" s="29">
        <v>25.377549999999999</v>
      </c>
    </row>
    <row r="83" spans="1:6" x14ac:dyDescent="0.2">
      <c r="A83" s="27" t="s">
        <v>256</v>
      </c>
      <c r="B83" s="30">
        <v>23.255849999999999</v>
      </c>
      <c r="C83" s="30">
        <v>29.279606000000001</v>
      </c>
      <c r="D83" s="30">
        <v>21.069061999999999</v>
      </c>
      <c r="E83" s="30">
        <v>16.781548999999998</v>
      </c>
      <c r="F83" s="30">
        <v>24.405248</v>
      </c>
    </row>
    <row r="84" spans="1:6" x14ac:dyDescent="0.2">
      <c r="A84" s="33" t="s">
        <v>137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519D-E772-FE47-8662-5E536F62C251}">
  <dimension ref="A1:G64"/>
  <sheetViews>
    <sheetView topLeftCell="A54" workbookViewId="0">
      <selection activeCell="A57" sqref="A57"/>
    </sheetView>
  </sheetViews>
  <sheetFormatPr baseColWidth="10" defaultColWidth="11" defaultRowHeight="16" x14ac:dyDescent="0.2"/>
  <cols>
    <col min="1" max="1" width="48.5" customWidth="1"/>
    <col min="2" max="7" width="8" customWidth="1"/>
  </cols>
  <sheetData>
    <row r="1" spans="1:7" x14ac:dyDescent="0.2">
      <c r="A1" s="5" t="s">
        <v>75</v>
      </c>
    </row>
    <row r="2" spans="1:7" x14ac:dyDescent="0.2">
      <c r="A2" s="6" t="s">
        <v>76</v>
      </c>
    </row>
    <row r="3" spans="1:7" x14ac:dyDescent="0.2">
      <c r="A3" s="7"/>
      <c r="B3" s="7"/>
      <c r="C3" s="7"/>
      <c r="D3" s="7"/>
      <c r="E3" s="7"/>
      <c r="F3" s="7"/>
      <c r="G3" s="7"/>
    </row>
    <row r="5" spans="1:7" x14ac:dyDescent="0.2">
      <c r="A5" s="8" t="s">
        <v>77</v>
      </c>
      <c r="B5" s="8"/>
      <c r="C5" s="8"/>
      <c r="D5" s="8"/>
      <c r="E5" s="8"/>
      <c r="F5" s="8"/>
      <c r="G5" s="8"/>
    </row>
    <row r="6" spans="1:7" x14ac:dyDescent="0.2">
      <c r="A6" s="8" t="s">
        <v>78</v>
      </c>
      <c r="B6" s="8"/>
      <c r="C6" s="8"/>
      <c r="D6" s="8"/>
      <c r="E6" s="8"/>
      <c r="F6" s="8"/>
      <c r="G6" s="8"/>
    </row>
    <row r="7" spans="1:7" x14ac:dyDescent="0.2">
      <c r="A7" s="8" t="s">
        <v>79</v>
      </c>
      <c r="B7" s="8"/>
      <c r="C7" s="8"/>
      <c r="D7" s="8"/>
      <c r="E7" s="8"/>
      <c r="F7" s="8"/>
      <c r="G7" s="8"/>
    </row>
    <row r="8" spans="1:7" x14ac:dyDescent="0.2">
      <c r="A8" s="8"/>
      <c r="B8" s="8" t="s">
        <v>85</v>
      </c>
      <c r="C8" s="8" t="s">
        <v>84</v>
      </c>
      <c r="D8" s="8" t="s">
        <v>83</v>
      </c>
      <c r="E8" s="8" t="s">
        <v>82</v>
      </c>
      <c r="F8" s="8" t="s">
        <v>81</v>
      </c>
      <c r="G8" s="8" t="s">
        <v>80</v>
      </c>
    </row>
    <row r="9" spans="1:7" x14ac:dyDescent="0.2">
      <c r="A9" s="8"/>
      <c r="B9" s="8"/>
      <c r="C9" s="8"/>
      <c r="D9" s="8"/>
      <c r="E9" s="8"/>
      <c r="F9" s="8"/>
      <c r="G9" s="8" t="s">
        <v>86</v>
      </c>
    </row>
    <row r="10" spans="1:7" x14ac:dyDescent="0.2">
      <c r="A10" s="8"/>
      <c r="B10" s="8" t="s">
        <v>87</v>
      </c>
      <c r="C10" s="8" t="s">
        <v>87</v>
      </c>
      <c r="D10" s="8"/>
      <c r="E10" s="8"/>
      <c r="F10" s="8"/>
      <c r="G10" s="8"/>
    </row>
    <row r="11" spans="1:7" x14ac:dyDescent="0.2">
      <c r="A11" s="9" t="s">
        <v>139</v>
      </c>
      <c r="B11" s="9"/>
      <c r="C11" s="9"/>
      <c r="D11" s="9"/>
      <c r="E11" s="9"/>
      <c r="F11" s="9"/>
      <c r="G11" s="9"/>
    </row>
    <row r="12" spans="1:7" x14ac:dyDescent="0.2">
      <c r="A12" s="26" t="s">
        <v>140</v>
      </c>
      <c r="B12" s="34">
        <v>559</v>
      </c>
      <c r="C12" s="34">
        <v>893</v>
      </c>
      <c r="D12" s="35">
        <v>-853</v>
      </c>
      <c r="E12" s="35">
        <v>-14</v>
      </c>
      <c r="F12" s="34">
        <v>570</v>
      </c>
      <c r="G12" s="34">
        <v>1228</v>
      </c>
    </row>
    <row r="13" spans="1:7" x14ac:dyDescent="0.2">
      <c r="A13" s="23" t="s">
        <v>141</v>
      </c>
      <c r="B13" s="36">
        <v>750</v>
      </c>
      <c r="C13" s="36">
        <v>733</v>
      </c>
      <c r="D13" s="36">
        <v>713</v>
      </c>
      <c r="E13" s="36">
        <v>653</v>
      </c>
      <c r="F13" s="36">
        <v>664</v>
      </c>
      <c r="G13" s="36">
        <v>642</v>
      </c>
    </row>
    <row r="14" spans="1:7" x14ac:dyDescent="0.2">
      <c r="A14" s="20" t="s">
        <v>142</v>
      </c>
      <c r="B14" s="34">
        <v>738</v>
      </c>
      <c r="C14" s="34">
        <v>721</v>
      </c>
      <c r="D14" s="34">
        <v>694</v>
      </c>
      <c r="E14" s="34">
        <v>644</v>
      </c>
      <c r="F14" s="34">
        <v>653</v>
      </c>
      <c r="G14" s="19"/>
    </row>
    <row r="15" spans="1:7" x14ac:dyDescent="0.2">
      <c r="A15" s="13" t="s">
        <v>143</v>
      </c>
      <c r="B15" s="32">
        <v>12</v>
      </c>
      <c r="C15" s="32">
        <v>12</v>
      </c>
      <c r="D15" s="32">
        <v>19</v>
      </c>
      <c r="E15" s="32">
        <v>9</v>
      </c>
      <c r="F15" s="32">
        <v>11</v>
      </c>
      <c r="G15" s="17"/>
    </row>
    <row r="16" spans="1:7" x14ac:dyDescent="0.2">
      <c r="A16" s="11" t="s">
        <v>144</v>
      </c>
      <c r="B16" s="37">
        <v>176</v>
      </c>
      <c r="C16" s="37">
        <v>-30</v>
      </c>
      <c r="D16" s="37">
        <v>15</v>
      </c>
      <c r="E16" s="37">
        <v>-26</v>
      </c>
      <c r="F16" s="37">
        <v>147</v>
      </c>
      <c r="G16" s="37">
        <v>192</v>
      </c>
    </row>
    <row r="17" spans="1:7" x14ac:dyDescent="0.2">
      <c r="A17" s="13" t="s">
        <v>145</v>
      </c>
      <c r="B17" s="32">
        <v>176</v>
      </c>
      <c r="C17" s="38">
        <v>-30</v>
      </c>
      <c r="D17" s="32">
        <v>15</v>
      </c>
      <c r="E17" s="38">
        <v>-26</v>
      </c>
      <c r="F17" s="32">
        <v>147</v>
      </c>
      <c r="G17" s="32">
        <v>192</v>
      </c>
    </row>
    <row r="18" spans="1:7" x14ac:dyDescent="0.2">
      <c r="A18" s="26" t="s">
        <v>146</v>
      </c>
      <c r="B18" s="34">
        <v>371</v>
      </c>
      <c r="C18" s="34">
        <v>666</v>
      </c>
      <c r="D18" s="34">
        <v>1249</v>
      </c>
      <c r="E18" s="34">
        <v>148</v>
      </c>
      <c r="F18" s="34">
        <v>790</v>
      </c>
      <c r="G18" s="34">
        <v>771</v>
      </c>
    </row>
    <row r="19" spans="1:7" x14ac:dyDescent="0.2">
      <c r="A19" s="27" t="s">
        <v>147</v>
      </c>
      <c r="B19" s="32">
        <v>1856</v>
      </c>
      <c r="C19" s="32">
        <v>2262</v>
      </c>
      <c r="D19" s="32">
        <v>1124</v>
      </c>
      <c r="E19" s="32">
        <v>761</v>
      </c>
      <c r="F19" s="32">
        <v>2171</v>
      </c>
      <c r="G19" s="32">
        <v>2833</v>
      </c>
    </row>
    <row r="20" spans="1:7" x14ac:dyDescent="0.2">
      <c r="A20" s="11" t="s">
        <v>148</v>
      </c>
      <c r="B20" s="37">
        <v>-632</v>
      </c>
      <c r="C20" s="37">
        <v>-1814</v>
      </c>
      <c r="D20" s="37">
        <v>-438</v>
      </c>
      <c r="E20" s="37">
        <v>-367</v>
      </c>
      <c r="F20" s="37">
        <v>-1251</v>
      </c>
      <c r="G20" s="37">
        <v>-1263</v>
      </c>
    </row>
    <row r="21" spans="1:7" x14ac:dyDescent="0.2">
      <c r="A21" s="13" t="s">
        <v>149</v>
      </c>
      <c r="B21" s="38">
        <v>-118</v>
      </c>
      <c r="C21" s="38">
        <v>-43</v>
      </c>
      <c r="D21" s="32">
        <v>283</v>
      </c>
      <c r="E21" s="32">
        <v>16</v>
      </c>
      <c r="F21" s="38">
        <v>-414</v>
      </c>
      <c r="G21" s="38">
        <v>-297</v>
      </c>
    </row>
    <row r="22" spans="1:7" x14ac:dyDescent="0.2">
      <c r="A22" s="20" t="s">
        <v>24</v>
      </c>
      <c r="B22" s="35">
        <v>-238</v>
      </c>
      <c r="C22" s="35">
        <v>-306</v>
      </c>
      <c r="D22" s="34">
        <v>137</v>
      </c>
      <c r="E22" s="34">
        <v>122</v>
      </c>
      <c r="F22" s="35">
        <v>-639</v>
      </c>
      <c r="G22" s="35">
        <v>-1112</v>
      </c>
    </row>
    <row r="23" spans="1:7" x14ac:dyDescent="0.2">
      <c r="A23" s="13" t="s">
        <v>150</v>
      </c>
      <c r="B23" s="32">
        <v>377</v>
      </c>
      <c r="C23" s="38">
        <v>-165</v>
      </c>
      <c r="D23" s="38">
        <v>-153</v>
      </c>
      <c r="E23" s="32">
        <v>25</v>
      </c>
      <c r="F23" s="32">
        <v>354</v>
      </c>
      <c r="G23" s="32">
        <v>420</v>
      </c>
    </row>
    <row r="24" spans="1:7" x14ac:dyDescent="0.2">
      <c r="A24" s="20" t="s">
        <v>151</v>
      </c>
      <c r="B24" s="34">
        <v>111</v>
      </c>
      <c r="C24" s="34">
        <v>241</v>
      </c>
      <c r="D24" s="35">
        <v>-330</v>
      </c>
      <c r="E24" s="34">
        <v>119</v>
      </c>
      <c r="F24" s="34">
        <v>301</v>
      </c>
      <c r="G24" s="34">
        <v>182</v>
      </c>
    </row>
    <row r="25" spans="1:7" x14ac:dyDescent="0.2">
      <c r="A25" s="13" t="s">
        <v>152</v>
      </c>
      <c r="B25" s="38">
        <v>-563</v>
      </c>
      <c r="C25" s="38">
        <v>-319</v>
      </c>
      <c r="D25" s="38">
        <v>-175</v>
      </c>
      <c r="E25" s="38">
        <v>-153</v>
      </c>
      <c r="F25" s="38">
        <v>-38</v>
      </c>
      <c r="G25" s="38">
        <v>-121</v>
      </c>
    </row>
    <row r="26" spans="1:7" x14ac:dyDescent="0.2">
      <c r="A26" s="20" t="s">
        <v>153</v>
      </c>
      <c r="B26" s="35">
        <v>-201</v>
      </c>
      <c r="C26" s="35">
        <v>-1222</v>
      </c>
      <c r="D26" s="35">
        <v>-200</v>
      </c>
      <c r="E26" s="35">
        <v>-496</v>
      </c>
      <c r="F26" s="35">
        <v>-815</v>
      </c>
      <c r="G26" s="35">
        <v>-335</v>
      </c>
    </row>
    <row r="27" spans="1:7" x14ac:dyDescent="0.2">
      <c r="A27" s="27" t="s">
        <v>154</v>
      </c>
      <c r="B27" s="32">
        <v>1224</v>
      </c>
      <c r="C27" s="32">
        <v>448</v>
      </c>
      <c r="D27" s="32">
        <v>686</v>
      </c>
      <c r="E27" s="32">
        <v>394</v>
      </c>
      <c r="F27" s="32">
        <v>920</v>
      </c>
      <c r="G27" s="32">
        <v>1570</v>
      </c>
    </row>
    <row r="28" spans="1:7" x14ac:dyDescent="0.2">
      <c r="A28" s="24" t="s">
        <v>155</v>
      </c>
      <c r="B28" s="24"/>
      <c r="C28" s="24"/>
      <c r="D28" s="24"/>
      <c r="E28" s="24"/>
      <c r="F28" s="24"/>
      <c r="G28" s="24"/>
    </row>
    <row r="29" spans="1:7" x14ac:dyDescent="0.2">
      <c r="A29" s="23" t="s">
        <v>156</v>
      </c>
      <c r="B29" s="36">
        <v>-405</v>
      </c>
      <c r="C29" s="36">
        <v>-399</v>
      </c>
      <c r="D29" s="36">
        <v>-379</v>
      </c>
      <c r="E29" s="36">
        <v>-353</v>
      </c>
      <c r="F29" s="36">
        <v>-390</v>
      </c>
      <c r="G29" s="36">
        <v>-417</v>
      </c>
    </row>
    <row r="30" spans="1:7" x14ac:dyDescent="0.2">
      <c r="A30" s="20" t="s">
        <v>157</v>
      </c>
      <c r="B30" s="35">
        <v>-405</v>
      </c>
      <c r="C30" s="35">
        <v>-399</v>
      </c>
      <c r="D30" s="35">
        <v>-379</v>
      </c>
      <c r="E30" s="35">
        <v>-353</v>
      </c>
      <c r="F30" s="35">
        <v>-390</v>
      </c>
      <c r="G30" s="35">
        <v>-417</v>
      </c>
    </row>
    <row r="31" spans="1:7" x14ac:dyDescent="0.2">
      <c r="A31" s="27" t="s">
        <v>158</v>
      </c>
      <c r="B31" s="17"/>
      <c r="C31" s="32">
        <v>0</v>
      </c>
      <c r="D31" s="32">
        <v>0</v>
      </c>
      <c r="E31" s="32">
        <v>0</v>
      </c>
      <c r="F31" s="17"/>
      <c r="G31" s="17"/>
    </row>
    <row r="32" spans="1:7" x14ac:dyDescent="0.2">
      <c r="A32" s="26" t="s">
        <v>159</v>
      </c>
      <c r="B32" s="34">
        <v>325</v>
      </c>
      <c r="C32" s="34">
        <v>150</v>
      </c>
      <c r="D32" s="34">
        <v>74</v>
      </c>
      <c r="E32" s="34">
        <v>222</v>
      </c>
      <c r="F32" s="34">
        <v>987</v>
      </c>
      <c r="G32" s="34">
        <v>369</v>
      </c>
    </row>
    <row r="33" spans="1:7" x14ac:dyDescent="0.2">
      <c r="A33" s="23" t="s">
        <v>160</v>
      </c>
      <c r="B33" s="36">
        <v>-66</v>
      </c>
      <c r="C33" s="36">
        <v>-7</v>
      </c>
      <c r="D33" s="36">
        <v>-112</v>
      </c>
      <c r="E33" s="36">
        <v>-12</v>
      </c>
      <c r="F33" s="36">
        <v>-11</v>
      </c>
      <c r="G33" s="36">
        <v>-29</v>
      </c>
    </row>
    <row r="34" spans="1:7" x14ac:dyDescent="0.2">
      <c r="A34" s="20" t="s">
        <v>161</v>
      </c>
      <c r="B34" s="34">
        <v>66</v>
      </c>
      <c r="C34" s="34">
        <v>7</v>
      </c>
      <c r="D34" s="34">
        <v>112</v>
      </c>
      <c r="E34" s="34">
        <v>12</v>
      </c>
      <c r="F34" s="34">
        <v>11</v>
      </c>
      <c r="G34" s="34">
        <v>29</v>
      </c>
    </row>
    <row r="35" spans="1:7" x14ac:dyDescent="0.2">
      <c r="A35" s="13" t="s">
        <v>162</v>
      </c>
      <c r="B35" s="32">
        <v>0</v>
      </c>
      <c r="C35" s="32">
        <v>0</v>
      </c>
      <c r="D35" s="32">
        <v>0</v>
      </c>
      <c r="E35" s="32">
        <v>0</v>
      </c>
      <c r="F35" s="17"/>
      <c r="G35" s="17"/>
    </row>
    <row r="36" spans="1:7" x14ac:dyDescent="0.2">
      <c r="A36" s="11" t="s">
        <v>146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2</v>
      </c>
    </row>
    <row r="37" spans="1:7" x14ac:dyDescent="0.2">
      <c r="A37" s="13" t="s">
        <v>163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</row>
    <row r="38" spans="1:7" x14ac:dyDescent="0.2">
      <c r="A38" s="20" t="s">
        <v>164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2</v>
      </c>
    </row>
    <row r="39" spans="1:7" x14ac:dyDescent="0.2">
      <c r="A39" s="27" t="s">
        <v>165</v>
      </c>
      <c r="B39" s="38">
        <v>-146</v>
      </c>
      <c r="C39" s="38">
        <v>-256</v>
      </c>
      <c r="D39" s="38">
        <v>-417</v>
      </c>
      <c r="E39" s="38">
        <v>-143</v>
      </c>
      <c r="F39" s="32">
        <v>586</v>
      </c>
      <c r="G39" s="38">
        <v>-65</v>
      </c>
    </row>
    <row r="40" spans="1:7" x14ac:dyDescent="0.2">
      <c r="A40" s="24" t="s">
        <v>166</v>
      </c>
      <c r="B40" s="24"/>
      <c r="C40" s="24"/>
      <c r="D40" s="24"/>
      <c r="E40" s="24"/>
      <c r="F40" s="24"/>
      <c r="G40" s="24"/>
    </row>
    <row r="41" spans="1:7" x14ac:dyDescent="0.2">
      <c r="A41" s="23" t="s">
        <v>167</v>
      </c>
      <c r="B41" s="36">
        <v>0</v>
      </c>
      <c r="C41" s="36">
        <v>0</v>
      </c>
      <c r="D41" s="36">
        <v>0</v>
      </c>
      <c r="E41" s="36">
        <v>0</v>
      </c>
      <c r="F41" s="36">
        <v>-19</v>
      </c>
      <c r="G41" s="36">
        <v>-56</v>
      </c>
    </row>
    <row r="42" spans="1:7" x14ac:dyDescent="0.2">
      <c r="A42" s="20" t="s">
        <v>168</v>
      </c>
      <c r="B42" s="34">
        <v>0</v>
      </c>
      <c r="C42" s="34">
        <v>0</v>
      </c>
      <c r="D42" s="34">
        <v>0</v>
      </c>
      <c r="E42" s="34">
        <v>0</v>
      </c>
      <c r="F42" s="35">
        <v>-19</v>
      </c>
      <c r="G42" s="35">
        <v>-56</v>
      </c>
    </row>
    <row r="43" spans="1:7" x14ac:dyDescent="0.2">
      <c r="A43" s="13" t="s">
        <v>125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</row>
    <row r="44" spans="1:7" x14ac:dyDescent="0.2">
      <c r="A44" s="11" t="s">
        <v>169</v>
      </c>
      <c r="B44" s="37">
        <v>43</v>
      </c>
      <c r="C44" s="37">
        <v>-27</v>
      </c>
      <c r="D44" s="37">
        <v>2</v>
      </c>
      <c r="E44" s="37">
        <v>1</v>
      </c>
      <c r="F44" s="37">
        <v>-125</v>
      </c>
      <c r="G44" s="37">
        <v>-467</v>
      </c>
    </row>
    <row r="45" spans="1:7" x14ac:dyDescent="0.2">
      <c r="A45" s="13" t="s">
        <v>170</v>
      </c>
      <c r="B45" s="32">
        <v>0</v>
      </c>
      <c r="C45" s="38">
        <v>-50</v>
      </c>
      <c r="D45" s="32">
        <v>0</v>
      </c>
      <c r="E45" s="32">
        <v>0</v>
      </c>
      <c r="F45" s="38">
        <v>-150</v>
      </c>
      <c r="G45" s="38">
        <v>-500</v>
      </c>
    </row>
    <row r="46" spans="1:7" x14ac:dyDescent="0.2">
      <c r="A46" s="15" t="s">
        <v>171</v>
      </c>
      <c r="B46" s="37">
        <v>43</v>
      </c>
      <c r="C46" s="37">
        <v>23</v>
      </c>
      <c r="D46" s="37">
        <v>2</v>
      </c>
      <c r="E46" s="37">
        <v>1</v>
      </c>
      <c r="F46" s="37">
        <v>25</v>
      </c>
      <c r="G46" s="37">
        <v>33</v>
      </c>
    </row>
    <row r="47" spans="1:7" x14ac:dyDescent="0.2">
      <c r="A47" s="16" t="s">
        <v>172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 spans="1:7" x14ac:dyDescent="0.2">
      <c r="A48" s="18" t="s">
        <v>173</v>
      </c>
      <c r="B48" s="34">
        <v>43</v>
      </c>
      <c r="C48" s="34">
        <v>23</v>
      </c>
      <c r="D48" s="34">
        <v>2</v>
      </c>
      <c r="E48" s="34">
        <v>1</v>
      </c>
      <c r="F48" s="34">
        <v>25</v>
      </c>
      <c r="G48" s="34">
        <v>33</v>
      </c>
    </row>
    <row r="49" spans="1:7" x14ac:dyDescent="0.2">
      <c r="A49" s="23" t="s">
        <v>174</v>
      </c>
      <c r="B49" s="36">
        <v>-32</v>
      </c>
      <c r="C49" s="36">
        <v>425</v>
      </c>
      <c r="D49" s="36">
        <v>-7</v>
      </c>
      <c r="E49" s="36">
        <v>738</v>
      </c>
      <c r="F49" s="36">
        <v>-799</v>
      </c>
      <c r="G49" s="36">
        <v>-518</v>
      </c>
    </row>
    <row r="50" spans="1:7" x14ac:dyDescent="0.2">
      <c r="A50" s="20" t="s">
        <v>175</v>
      </c>
      <c r="B50" s="34">
        <v>7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</row>
    <row r="51" spans="1:7" x14ac:dyDescent="0.2">
      <c r="A51" s="25" t="s">
        <v>176</v>
      </c>
      <c r="B51" s="36">
        <v>-39</v>
      </c>
      <c r="C51" s="36">
        <v>425</v>
      </c>
      <c r="D51" s="36">
        <v>-7</v>
      </c>
      <c r="E51" s="36">
        <v>738</v>
      </c>
      <c r="F51" s="36">
        <v>-799</v>
      </c>
      <c r="G51" s="36">
        <v>-518</v>
      </c>
    </row>
    <row r="52" spans="1:7" x14ac:dyDescent="0.2">
      <c r="A52" s="18" t="s">
        <v>177</v>
      </c>
      <c r="B52" s="34">
        <v>21</v>
      </c>
      <c r="C52" s="34">
        <v>560</v>
      </c>
      <c r="D52" s="34">
        <v>0</v>
      </c>
      <c r="E52" s="34">
        <v>739</v>
      </c>
      <c r="F52" s="34">
        <v>495</v>
      </c>
      <c r="G52" s="34">
        <v>0</v>
      </c>
    </row>
    <row r="53" spans="1:7" x14ac:dyDescent="0.2">
      <c r="A53" s="16" t="s">
        <v>178</v>
      </c>
      <c r="B53" s="38">
        <v>-60</v>
      </c>
      <c r="C53" s="38">
        <v>-135</v>
      </c>
      <c r="D53" s="38">
        <v>-7</v>
      </c>
      <c r="E53" s="38">
        <v>-1</v>
      </c>
      <c r="F53" s="38">
        <v>-1294</v>
      </c>
      <c r="G53" s="38">
        <v>-518</v>
      </c>
    </row>
    <row r="54" spans="1:7" x14ac:dyDescent="0.2">
      <c r="A54" s="11" t="s">
        <v>146</v>
      </c>
      <c r="B54" s="37">
        <v>-597</v>
      </c>
      <c r="C54" s="37">
        <v>-835</v>
      </c>
      <c r="D54" s="37">
        <v>-490</v>
      </c>
      <c r="E54" s="37">
        <v>-249</v>
      </c>
      <c r="F54" s="37">
        <v>-236</v>
      </c>
      <c r="G54" s="37">
        <v>-358</v>
      </c>
    </row>
    <row r="55" spans="1:7" x14ac:dyDescent="0.2">
      <c r="A55" s="13" t="s">
        <v>163</v>
      </c>
      <c r="B55" s="38">
        <v>-597</v>
      </c>
      <c r="C55" s="38">
        <v>-835</v>
      </c>
      <c r="D55" s="38">
        <v>-490</v>
      </c>
      <c r="E55" s="38">
        <v>-249</v>
      </c>
      <c r="F55" s="38">
        <v>-236</v>
      </c>
      <c r="G55" s="38">
        <v>-358</v>
      </c>
    </row>
    <row r="56" spans="1:7" x14ac:dyDescent="0.2">
      <c r="A56" s="20" t="s">
        <v>164</v>
      </c>
      <c r="B56" s="34">
        <v>0</v>
      </c>
      <c r="C56" s="19"/>
      <c r="D56" s="19"/>
      <c r="E56" s="19"/>
      <c r="F56" s="19"/>
      <c r="G56" s="19"/>
    </row>
    <row r="57" spans="1:7" x14ac:dyDescent="0.2">
      <c r="A57" s="27" t="s">
        <v>179</v>
      </c>
      <c r="B57" s="38">
        <v>-586</v>
      </c>
      <c r="C57" s="38">
        <v>-437</v>
      </c>
      <c r="D57" s="38">
        <v>-495</v>
      </c>
      <c r="E57" s="32">
        <v>490</v>
      </c>
      <c r="F57" s="38">
        <v>-1179</v>
      </c>
      <c r="G57" s="38">
        <v>-1399</v>
      </c>
    </row>
    <row r="58" spans="1:7" x14ac:dyDescent="0.2">
      <c r="A58" s="24" t="s">
        <v>180</v>
      </c>
      <c r="B58" s="24"/>
      <c r="C58" s="24"/>
      <c r="D58" s="24"/>
      <c r="E58" s="24"/>
      <c r="F58" s="24"/>
      <c r="G58" s="24"/>
    </row>
    <row r="59" spans="1:7" x14ac:dyDescent="0.2">
      <c r="A59" s="27" t="s">
        <v>181</v>
      </c>
      <c r="B59" s="32">
        <v>14</v>
      </c>
      <c r="C59" s="38">
        <v>-4</v>
      </c>
      <c r="D59" s="38">
        <v>-7</v>
      </c>
      <c r="E59" s="38">
        <v>-14</v>
      </c>
      <c r="F59" s="38">
        <v>-13</v>
      </c>
      <c r="G59" s="38">
        <v>-13</v>
      </c>
    </row>
    <row r="60" spans="1:7" x14ac:dyDescent="0.2">
      <c r="A60" s="26" t="s">
        <v>182</v>
      </c>
      <c r="B60" s="34">
        <v>506</v>
      </c>
      <c r="C60" s="35">
        <v>-249</v>
      </c>
      <c r="D60" s="35">
        <v>-233</v>
      </c>
      <c r="E60" s="34">
        <v>727</v>
      </c>
      <c r="F60" s="34">
        <v>314</v>
      </c>
      <c r="G60" s="34">
        <v>93</v>
      </c>
    </row>
    <row r="61" spans="1:7" x14ac:dyDescent="0.2">
      <c r="A61" s="23" t="s">
        <v>183</v>
      </c>
      <c r="B61" s="36">
        <v>819</v>
      </c>
      <c r="C61" s="36">
        <v>49</v>
      </c>
      <c r="D61" s="36">
        <v>307</v>
      </c>
      <c r="E61" s="36">
        <v>41</v>
      </c>
      <c r="F61" s="36">
        <v>530</v>
      </c>
      <c r="G61" s="36">
        <v>1153</v>
      </c>
    </row>
    <row r="62" spans="1:7" x14ac:dyDescent="0.2">
      <c r="A62" s="20" t="s">
        <v>184</v>
      </c>
      <c r="B62" s="34">
        <v>4.3796790000000003</v>
      </c>
      <c r="C62" s="34">
        <v>0.25925900000000002</v>
      </c>
      <c r="D62" s="34">
        <v>1.659459</v>
      </c>
      <c r="E62" s="34">
        <v>0.22042999999999999</v>
      </c>
      <c r="F62" s="34">
        <v>2.7894739999999998</v>
      </c>
      <c r="G62" s="34">
        <v>6.198925</v>
      </c>
    </row>
    <row r="63" spans="1:7" x14ac:dyDescent="0.2">
      <c r="A63" s="13" t="s">
        <v>185</v>
      </c>
      <c r="B63" s="32">
        <v>8.1300889999999999</v>
      </c>
      <c r="C63" s="32">
        <v>0.97539200000000004</v>
      </c>
      <c r="D63" s="32">
        <v>7.7148279999999998</v>
      </c>
      <c r="E63" s="32">
        <v>0.95631299999999997</v>
      </c>
      <c r="F63" s="32">
        <v>4.6818960000000001</v>
      </c>
      <c r="G63" s="32">
        <v>13.600097999999999</v>
      </c>
    </row>
    <row r="64" spans="1:7" x14ac:dyDescent="0.2">
      <c r="A64" s="33" t="s">
        <v>137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15DE-756B-4286-89B3-7DEAB1B685C6}">
  <dimension ref="A1:K16"/>
  <sheetViews>
    <sheetView workbookViewId="0">
      <selection activeCell="K6" sqref="K6"/>
    </sheetView>
  </sheetViews>
  <sheetFormatPr baseColWidth="10" defaultColWidth="8.83203125" defaultRowHeight="16" x14ac:dyDescent="0.2"/>
  <cols>
    <col min="1" max="1" width="31.6640625" bestFit="1" customWidth="1"/>
  </cols>
  <sheetData>
    <row r="1" spans="1:11" x14ac:dyDescent="0.2">
      <c r="A1" s="40" t="s">
        <v>276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">
      <c r="A2" s="40" t="s">
        <v>277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2"/>
      <c r="B3" s="42" t="s">
        <v>278</v>
      </c>
      <c r="C3" s="42" t="s">
        <v>279</v>
      </c>
      <c r="D3" s="42" t="s">
        <v>280</v>
      </c>
      <c r="E3" s="42" t="s">
        <v>281</v>
      </c>
      <c r="F3" s="42" t="s">
        <v>282</v>
      </c>
      <c r="G3" s="42" t="s">
        <v>85</v>
      </c>
      <c r="H3" s="42" t="s">
        <v>84</v>
      </c>
      <c r="I3" s="42" t="s">
        <v>83</v>
      </c>
      <c r="J3" s="42" t="s">
        <v>82</v>
      </c>
      <c r="K3" s="42" t="s">
        <v>81</v>
      </c>
    </row>
    <row r="4" spans="1:11" x14ac:dyDescent="0.2">
      <c r="A4" s="43" t="s">
        <v>283</v>
      </c>
      <c r="B4" s="44">
        <v>99.999999000000003</v>
      </c>
      <c r="C4" s="44">
        <v>99.999998000000005</v>
      </c>
      <c r="D4" s="44">
        <v>99.999998000000005</v>
      </c>
      <c r="E4" s="44">
        <v>100</v>
      </c>
      <c r="F4" s="44">
        <v>99.999998000000005</v>
      </c>
      <c r="G4" s="44">
        <v>100.000004</v>
      </c>
      <c r="H4" s="44">
        <v>100.000001</v>
      </c>
      <c r="I4" s="44">
        <v>100.00000199999999</v>
      </c>
      <c r="J4" s="44">
        <v>100.000001</v>
      </c>
      <c r="K4" s="44">
        <v>99.999994999999998</v>
      </c>
    </row>
    <row r="5" spans="1:11" x14ac:dyDescent="0.2">
      <c r="A5" s="45" t="s">
        <v>58</v>
      </c>
      <c r="B5" s="45" t="s">
        <v>284</v>
      </c>
      <c r="C5" s="45" t="s">
        <v>284</v>
      </c>
      <c r="D5" s="45" t="s">
        <v>284</v>
      </c>
      <c r="E5" s="45" t="s">
        <v>284</v>
      </c>
      <c r="F5" s="46">
        <v>9.6587000000000006E-2</v>
      </c>
      <c r="G5" s="46">
        <v>68.889465000000001</v>
      </c>
      <c r="H5" s="46">
        <v>65.873313999999993</v>
      </c>
      <c r="I5" s="46">
        <v>65.206558000000001</v>
      </c>
      <c r="J5" s="46">
        <v>68.544044</v>
      </c>
      <c r="K5" s="46">
        <v>72.136268999999999</v>
      </c>
    </row>
    <row r="6" spans="1:11" x14ac:dyDescent="0.2">
      <c r="A6" s="43" t="s">
        <v>57</v>
      </c>
      <c r="B6" s="44">
        <v>13.198445</v>
      </c>
      <c r="C6" s="44">
        <v>14.612715</v>
      </c>
      <c r="D6" s="44">
        <v>14.827178</v>
      </c>
      <c r="E6" s="44">
        <v>15.350097999999999</v>
      </c>
      <c r="F6" s="44">
        <v>24.683409000000001</v>
      </c>
      <c r="G6" s="44">
        <v>26.888088</v>
      </c>
      <c r="H6" s="44">
        <v>31.448183</v>
      </c>
      <c r="I6" s="44">
        <v>31.151154999999999</v>
      </c>
      <c r="J6" s="44">
        <v>28.289899999999999</v>
      </c>
      <c r="K6" s="44">
        <v>25.831139</v>
      </c>
    </row>
    <row r="7" spans="1:11" x14ac:dyDescent="0.2">
      <c r="A7" s="45" t="s">
        <v>56</v>
      </c>
      <c r="B7" s="45" t="s">
        <v>284</v>
      </c>
      <c r="C7" s="45" t="s">
        <v>284</v>
      </c>
      <c r="D7" s="45" t="s">
        <v>284</v>
      </c>
      <c r="E7" s="45" t="s">
        <v>284</v>
      </c>
      <c r="F7" s="46">
        <v>3.3805540000000001</v>
      </c>
      <c r="G7" s="46">
        <v>2.8578779999999999</v>
      </c>
      <c r="H7" s="46">
        <v>2.021935</v>
      </c>
      <c r="I7" s="46">
        <v>2.8467359999999999</v>
      </c>
      <c r="J7" s="46">
        <v>2.929141</v>
      </c>
      <c r="K7" s="46">
        <v>1.942067</v>
      </c>
    </row>
    <row r="8" spans="1:11" x14ac:dyDescent="0.2">
      <c r="A8" s="43" t="s">
        <v>285</v>
      </c>
      <c r="B8" s="43" t="s">
        <v>284</v>
      </c>
      <c r="C8" s="43" t="s">
        <v>284</v>
      </c>
      <c r="D8" s="43" t="s">
        <v>284</v>
      </c>
      <c r="E8" s="43" t="s">
        <v>284</v>
      </c>
      <c r="F8" s="44">
        <v>1.545396</v>
      </c>
      <c r="G8" s="44">
        <v>1.364573</v>
      </c>
      <c r="H8" s="44">
        <v>0.65656899999999996</v>
      </c>
      <c r="I8" s="44">
        <v>0.79555299999999995</v>
      </c>
      <c r="J8" s="44">
        <v>0.23691599999999999</v>
      </c>
      <c r="K8" s="44">
        <v>9.0520000000000003E-2</v>
      </c>
    </row>
    <row r="9" spans="1:11" x14ac:dyDescent="0.2">
      <c r="A9" s="47" t="s">
        <v>286</v>
      </c>
      <c r="B9" s="48">
        <v>86.801553999999996</v>
      </c>
      <c r="C9" s="48">
        <v>85.387282999999996</v>
      </c>
      <c r="D9" s="48">
        <v>85.172820000000002</v>
      </c>
      <c r="E9" s="48">
        <v>84.649901999999997</v>
      </c>
      <c r="F9" s="48">
        <v>70.294051999999994</v>
      </c>
      <c r="G9" s="47" t="s">
        <v>284</v>
      </c>
      <c r="H9" s="47" t="s">
        <v>284</v>
      </c>
      <c r="I9" s="47" t="s">
        <v>284</v>
      </c>
      <c r="J9" s="47" t="s">
        <v>284</v>
      </c>
      <c r="K9" s="47" t="s">
        <v>284</v>
      </c>
    </row>
    <row r="10" spans="1:11" x14ac:dyDescent="0.2">
      <c r="A10" s="49" t="s">
        <v>287</v>
      </c>
      <c r="B10" s="43" t="s">
        <v>284</v>
      </c>
      <c r="C10" s="43" t="s">
        <v>284</v>
      </c>
      <c r="D10" s="43" t="s">
        <v>284</v>
      </c>
      <c r="E10" s="43" t="s">
        <v>284</v>
      </c>
      <c r="F10" s="44">
        <v>55.816696</v>
      </c>
      <c r="G10" s="43" t="s">
        <v>284</v>
      </c>
      <c r="H10" s="43" t="s">
        <v>284</v>
      </c>
      <c r="I10" s="43" t="s">
        <v>284</v>
      </c>
      <c r="J10" s="43" t="s">
        <v>284</v>
      </c>
      <c r="K10" s="43" t="s">
        <v>284</v>
      </c>
    </row>
    <row r="11" spans="1:11" x14ac:dyDescent="0.2">
      <c r="A11" s="50" t="s">
        <v>288</v>
      </c>
      <c r="B11" s="45" t="s">
        <v>284</v>
      </c>
      <c r="C11" s="45" t="s">
        <v>284</v>
      </c>
      <c r="D11" s="45" t="s">
        <v>284</v>
      </c>
      <c r="E11" s="45" t="s">
        <v>284</v>
      </c>
      <c r="F11" s="46">
        <v>11.472419</v>
      </c>
      <c r="G11" s="45" t="s">
        <v>284</v>
      </c>
      <c r="H11" s="45" t="s">
        <v>284</v>
      </c>
      <c r="I11" s="45" t="s">
        <v>284</v>
      </c>
      <c r="J11" s="45" t="s">
        <v>284</v>
      </c>
      <c r="K11" s="45" t="s">
        <v>284</v>
      </c>
    </row>
    <row r="12" spans="1:11" x14ac:dyDescent="0.2">
      <c r="A12" s="49" t="s">
        <v>289</v>
      </c>
      <c r="B12" s="43" t="s">
        <v>284</v>
      </c>
      <c r="C12" s="43" t="s">
        <v>284</v>
      </c>
      <c r="D12" s="43" t="s">
        <v>284</v>
      </c>
      <c r="E12" s="43" t="s">
        <v>284</v>
      </c>
      <c r="F12" s="44">
        <v>3.004937</v>
      </c>
      <c r="G12" s="43" t="s">
        <v>284</v>
      </c>
      <c r="H12" s="43" t="s">
        <v>284</v>
      </c>
      <c r="I12" s="43" t="s">
        <v>284</v>
      </c>
      <c r="J12" s="43" t="s">
        <v>284</v>
      </c>
      <c r="K12" s="43" t="s">
        <v>284</v>
      </c>
    </row>
    <row r="13" spans="1:11" x14ac:dyDescent="0.2">
      <c r="A13" s="50" t="s">
        <v>290</v>
      </c>
      <c r="B13" s="46">
        <v>31.493573999999999</v>
      </c>
      <c r="C13" s="46">
        <v>31.22007</v>
      </c>
      <c r="D13" s="46">
        <v>31.061437999999999</v>
      </c>
      <c r="E13" s="46">
        <v>27.714590000000001</v>
      </c>
      <c r="F13" s="45" t="s">
        <v>284</v>
      </c>
      <c r="G13" s="45" t="s">
        <v>284</v>
      </c>
      <c r="H13" s="45" t="s">
        <v>284</v>
      </c>
      <c r="I13" s="45" t="s">
        <v>284</v>
      </c>
      <c r="J13" s="45" t="s">
        <v>284</v>
      </c>
      <c r="K13" s="45" t="s">
        <v>284</v>
      </c>
    </row>
    <row r="14" spans="1:11" x14ac:dyDescent="0.2">
      <c r="A14" s="49" t="s">
        <v>291</v>
      </c>
      <c r="B14" s="44">
        <v>31.724081000000002</v>
      </c>
      <c r="C14" s="44">
        <v>28.979393000000002</v>
      </c>
      <c r="D14" s="44">
        <v>28.733201999999999</v>
      </c>
      <c r="E14" s="44">
        <v>24.840057000000002</v>
      </c>
      <c r="F14" s="43" t="s">
        <v>284</v>
      </c>
      <c r="G14" s="43" t="s">
        <v>284</v>
      </c>
      <c r="H14" s="43" t="s">
        <v>284</v>
      </c>
      <c r="I14" s="43" t="s">
        <v>284</v>
      </c>
      <c r="J14" s="43" t="s">
        <v>284</v>
      </c>
      <c r="K14" s="43" t="s">
        <v>284</v>
      </c>
    </row>
    <row r="15" spans="1:11" x14ac:dyDescent="0.2">
      <c r="A15" s="50" t="s">
        <v>292</v>
      </c>
      <c r="B15" s="46">
        <v>23.583898999999999</v>
      </c>
      <c r="C15" s="46">
        <v>25.187819999999999</v>
      </c>
      <c r="D15" s="46">
        <v>25.37818</v>
      </c>
      <c r="E15" s="46">
        <v>23.733784</v>
      </c>
      <c r="F15" s="45" t="s">
        <v>284</v>
      </c>
      <c r="G15" s="45" t="s">
        <v>284</v>
      </c>
      <c r="H15" s="45" t="s">
        <v>284</v>
      </c>
      <c r="I15" s="45" t="s">
        <v>284</v>
      </c>
      <c r="J15" s="45" t="s">
        <v>284</v>
      </c>
      <c r="K15" s="45" t="s">
        <v>284</v>
      </c>
    </row>
    <row r="16" spans="1:11" x14ac:dyDescent="0.2">
      <c r="A16" s="49" t="s">
        <v>293</v>
      </c>
      <c r="B16" s="43" t="s">
        <v>284</v>
      </c>
      <c r="C16" s="43" t="s">
        <v>284</v>
      </c>
      <c r="D16" s="43" t="s">
        <v>284</v>
      </c>
      <c r="E16" s="44">
        <v>8.3614709999999999</v>
      </c>
      <c r="F16" s="43" t="s">
        <v>284</v>
      </c>
      <c r="G16" s="43" t="s">
        <v>284</v>
      </c>
      <c r="H16" s="43" t="s">
        <v>284</v>
      </c>
      <c r="I16" s="43" t="s">
        <v>284</v>
      </c>
      <c r="J16" s="43" t="s">
        <v>284</v>
      </c>
      <c r="K16" s="43" t="s">
        <v>284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895A-2982-184B-8D94-9E34CD60A827}">
  <dimension ref="A2:AD58"/>
  <sheetViews>
    <sheetView showGridLines="0" zoomScale="85" zoomScaleNormal="109" workbookViewId="0">
      <selection activeCell="G23" sqref="G23"/>
    </sheetView>
  </sheetViews>
  <sheetFormatPr baseColWidth="10" defaultColWidth="11" defaultRowHeight="16" x14ac:dyDescent="0.2"/>
  <cols>
    <col min="1" max="2" width="1.83203125" style="57" customWidth="1"/>
    <col min="3" max="3" width="50.6640625" style="57" customWidth="1"/>
    <col min="4" max="4" width="10.83203125" style="57" customWidth="1"/>
    <col min="5" max="8" width="11" style="57"/>
    <col min="9" max="10" width="10.83203125" style="57" customWidth="1"/>
    <col min="11" max="12" width="11" style="57"/>
    <col min="13" max="13" width="10.83203125" style="57" customWidth="1"/>
    <col min="14" max="14" width="12" style="57" bestFit="1" customWidth="1"/>
    <col min="15" max="15" width="13.6640625" style="57" bestFit="1" customWidth="1"/>
    <col min="16" max="30" width="11" style="57"/>
  </cols>
  <sheetData>
    <row r="2" spans="2:17" x14ac:dyDescent="0.2">
      <c r="B2" s="57" t="s">
        <v>0</v>
      </c>
      <c r="C2" s="58" t="s">
        <v>44</v>
      </c>
      <c r="D2" s="59"/>
    </row>
    <row r="3" spans="2:17" ht="17" thickBot="1" x14ac:dyDescent="0.25">
      <c r="C3" s="60" t="s">
        <v>77</v>
      </c>
      <c r="D3" s="61"/>
      <c r="E3" s="62"/>
      <c r="F3" s="62"/>
      <c r="G3" s="62"/>
      <c r="H3" s="62"/>
      <c r="I3" s="62"/>
      <c r="J3" s="62"/>
      <c r="K3" s="62"/>
      <c r="L3" s="62"/>
      <c r="M3" s="62"/>
    </row>
    <row r="4" spans="2:17" x14ac:dyDescent="0.2">
      <c r="C4" s="63" t="s">
        <v>263</v>
      </c>
      <c r="D4" s="59"/>
      <c r="H4" s="64"/>
      <c r="I4" s="64"/>
      <c r="J4" s="64"/>
    </row>
    <row r="5" spans="2:17" x14ac:dyDescent="0.2">
      <c r="C5" s="59"/>
      <c r="D5" s="59"/>
      <c r="I5" s="64"/>
      <c r="J5" s="64"/>
      <c r="K5" s="64"/>
    </row>
    <row r="6" spans="2:17" x14ac:dyDescent="0.2">
      <c r="C6" s="57" t="s">
        <v>270</v>
      </c>
      <c r="D6" s="118" t="s">
        <v>53</v>
      </c>
    </row>
    <row r="7" spans="2:17" ht="17" thickBot="1" x14ac:dyDescent="0.25"/>
    <row r="8" spans="2:17" x14ac:dyDescent="0.2">
      <c r="B8" s="57" t="s">
        <v>0</v>
      </c>
      <c r="C8" s="65" t="s">
        <v>9</v>
      </c>
      <c r="D8" s="66">
        <f>E8-1</f>
        <v>2017</v>
      </c>
      <c r="E8" s="66">
        <f>F8-1</f>
        <v>2018</v>
      </c>
      <c r="F8" s="66">
        <f>G8-1</f>
        <v>2019</v>
      </c>
      <c r="G8" s="66">
        <f>H8-1</f>
        <v>2020</v>
      </c>
      <c r="H8" s="67">
        <v>2021</v>
      </c>
      <c r="I8" s="68">
        <f>H8+1</f>
        <v>2022</v>
      </c>
      <c r="J8" s="68">
        <f t="shared" ref="J8:M8" si="0">I8+1</f>
        <v>2023</v>
      </c>
      <c r="K8" s="68">
        <f t="shared" si="0"/>
        <v>2024</v>
      </c>
      <c r="L8" s="68">
        <f t="shared" si="0"/>
        <v>2025</v>
      </c>
      <c r="M8" s="69">
        <f t="shared" si="0"/>
        <v>2026</v>
      </c>
    </row>
    <row r="9" spans="2:17" ht="17" thickBot="1" x14ac:dyDescent="0.25">
      <c r="C9" s="70" t="s">
        <v>8</v>
      </c>
      <c r="D9" s="71">
        <f>EOMONTH(E9,-12)</f>
        <v>43100</v>
      </c>
      <c r="E9" s="71">
        <f>EOMONTH(F9,-12)</f>
        <v>43465</v>
      </c>
      <c r="F9" s="71">
        <f>EOMONTH(G9,-12)</f>
        <v>43830</v>
      </c>
      <c r="G9" s="71">
        <f>EOMONTH(H9,-12)</f>
        <v>44196</v>
      </c>
      <c r="H9" s="72">
        <f>'Financial Statement Model'!D10</f>
        <v>44561</v>
      </c>
      <c r="I9" s="71">
        <f>EOMONTH(H9,12)</f>
        <v>44926</v>
      </c>
      <c r="J9" s="71">
        <f t="shared" ref="J9:M9" si="1">EOMONTH(I9,12)</f>
        <v>45291</v>
      </c>
      <c r="K9" s="71">
        <f t="shared" si="1"/>
        <v>45657</v>
      </c>
      <c r="L9" s="71">
        <f t="shared" si="1"/>
        <v>46022</v>
      </c>
      <c r="M9" s="73">
        <f t="shared" si="1"/>
        <v>46387</v>
      </c>
      <c r="O9" s="111"/>
      <c r="P9" s="111"/>
      <c r="Q9" s="111"/>
    </row>
    <row r="10" spans="2:17" x14ac:dyDescent="0.2">
      <c r="C10" s="74"/>
      <c r="D10" s="75"/>
      <c r="E10" s="75"/>
      <c r="F10" s="75"/>
      <c r="G10" s="75"/>
      <c r="H10" s="76"/>
      <c r="I10" s="75"/>
      <c r="J10" s="75"/>
      <c r="K10" s="75"/>
      <c r="L10" s="75"/>
      <c r="M10" s="77"/>
    </row>
    <row r="11" spans="2:17" x14ac:dyDescent="0.2">
      <c r="C11" s="78" t="s">
        <v>46</v>
      </c>
      <c r="D11" s="79"/>
      <c r="E11" s="80"/>
      <c r="F11" s="80"/>
      <c r="G11" s="80"/>
      <c r="H11" s="81"/>
      <c r="I11" s="82">
        <f ca="1">OFFSET(I$20,MATCH($C11,$C$20:$C$58,0)+MATCH($D$6,$C$21:$C$23,0)-1,0)</f>
        <v>1.37E-2</v>
      </c>
      <c r="J11" s="82">
        <f t="shared" ref="J11:M18" ca="1" si="2">OFFSET(J$20,MATCH($C11,$C$20:$C$58,0)+MATCH($D$6,$C$21:$C$23,0)-1,0)</f>
        <v>-4.0500000000000001E-2</v>
      </c>
      <c r="K11" s="82">
        <f t="shared" ca="1" si="2"/>
        <v>7.1099999999999997E-2</v>
      </c>
      <c r="L11" s="82">
        <f t="shared" ca="1" si="2"/>
        <v>-4.0500000000000001E-2</v>
      </c>
      <c r="M11" s="83">
        <f t="shared" ca="1" si="2"/>
        <v>-5.0500000000000003E-2</v>
      </c>
    </row>
    <row r="12" spans="2:17" x14ac:dyDescent="0.2">
      <c r="C12" s="84" t="s">
        <v>47</v>
      </c>
      <c r="D12" s="85"/>
      <c r="E12" s="86"/>
      <c r="F12" s="86"/>
      <c r="G12" s="86"/>
      <c r="H12" s="87"/>
      <c r="I12" s="88">
        <f t="shared" ref="I12:I18" ca="1" si="3">OFFSET(I$20,MATCH($C12,$C$20:$C$58,0)+MATCH($D$6,$C$21:$C$23,0)-1,0)</f>
        <v>1.37E-2</v>
      </c>
      <c r="J12" s="88">
        <f t="shared" ca="1" si="2"/>
        <v>-4.0500000000000001E-2</v>
      </c>
      <c r="K12" s="88">
        <f t="shared" ca="1" si="2"/>
        <v>7.1099999999999997E-2</v>
      </c>
      <c r="L12" s="88">
        <f t="shared" ca="1" si="2"/>
        <v>1.37E-2</v>
      </c>
      <c r="M12" s="89">
        <f t="shared" ca="1" si="2"/>
        <v>3.7000000000000002E-3</v>
      </c>
    </row>
    <row r="13" spans="2:17" x14ac:dyDescent="0.2">
      <c r="C13" s="84" t="s">
        <v>48</v>
      </c>
      <c r="D13" s="85"/>
      <c r="E13" s="86"/>
      <c r="F13" s="86"/>
      <c r="G13" s="86"/>
      <c r="H13" s="87"/>
      <c r="I13" s="88">
        <f t="shared" ca="1" si="3"/>
        <v>1.37E-2</v>
      </c>
      <c r="J13" s="88">
        <f t="shared" ca="1" si="2"/>
        <v>-4.0500000000000001E-2</v>
      </c>
      <c r="K13" s="88">
        <f t="shared" ca="1" si="2"/>
        <v>7.1099999999999997E-2</v>
      </c>
      <c r="L13" s="88">
        <f t="shared" ca="1" si="2"/>
        <v>1.37E-2</v>
      </c>
      <c r="M13" s="89">
        <f t="shared" ca="1" si="2"/>
        <v>3.7000000000000002E-3</v>
      </c>
    </row>
    <row r="14" spans="2:17" x14ac:dyDescent="0.2">
      <c r="C14" s="90" t="s">
        <v>294</v>
      </c>
      <c r="D14" s="85"/>
      <c r="E14" s="86"/>
      <c r="F14" s="86"/>
      <c r="G14" s="86"/>
      <c r="H14" s="87"/>
      <c r="I14" s="88">
        <f t="shared" ca="1" si="3"/>
        <v>1.37E-2</v>
      </c>
      <c r="J14" s="88">
        <f t="shared" ca="1" si="2"/>
        <v>-4.0500000000000001E-2</v>
      </c>
      <c r="K14" s="88">
        <f t="shared" ca="1" si="2"/>
        <v>7.1099999999999997E-2</v>
      </c>
      <c r="L14" s="88">
        <f t="shared" ca="1" si="2"/>
        <v>-5.9213940771232654E-2</v>
      </c>
      <c r="M14" s="89">
        <f t="shared" ca="1" si="2"/>
        <v>-6.9213940771232649E-2</v>
      </c>
    </row>
    <row r="15" spans="2:17" x14ac:dyDescent="0.2">
      <c r="C15" s="84" t="s">
        <v>49</v>
      </c>
      <c r="D15" s="85"/>
      <c r="E15" s="86"/>
      <c r="F15" s="86"/>
      <c r="G15" s="86"/>
      <c r="H15" s="87"/>
      <c r="I15" s="88">
        <f t="shared" ca="1" si="3"/>
        <v>0.15555221082435947</v>
      </c>
      <c r="J15" s="88">
        <f t="shared" ca="1" si="2"/>
        <v>0.15555221082435947</v>
      </c>
      <c r="K15" s="88">
        <f t="shared" ca="1" si="2"/>
        <v>0.15555221082435947</v>
      </c>
      <c r="L15" s="88">
        <f t="shared" ca="1" si="2"/>
        <v>0.15555221082435947</v>
      </c>
      <c r="M15" s="89">
        <f t="shared" ca="1" si="2"/>
        <v>0.15555221082435947</v>
      </c>
    </row>
    <row r="16" spans="2:17" x14ac:dyDescent="0.2">
      <c r="C16" s="84" t="s">
        <v>50</v>
      </c>
      <c r="D16" s="85"/>
      <c r="E16" s="86"/>
      <c r="F16" s="86"/>
      <c r="G16" s="86"/>
      <c r="H16" s="87"/>
      <c r="I16" s="88">
        <f t="shared" ca="1" si="3"/>
        <v>2.1805618956939072E-2</v>
      </c>
      <c r="J16" s="88">
        <f t="shared" ca="1" si="2"/>
        <v>2.1805618956939072E-2</v>
      </c>
      <c r="K16" s="88">
        <f t="shared" ca="1" si="2"/>
        <v>2.1805618956939072E-2</v>
      </c>
      <c r="L16" s="88">
        <f t="shared" ca="1" si="2"/>
        <v>2.1805618956939072E-2</v>
      </c>
      <c r="M16" s="89">
        <f t="shared" ca="1" si="2"/>
        <v>2.1805618956939072E-2</v>
      </c>
    </row>
    <row r="17" spans="3:18" x14ac:dyDescent="0.2">
      <c r="C17" s="84" t="s">
        <v>51</v>
      </c>
      <c r="D17" s="85"/>
      <c r="E17" s="86"/>
      <c r="F17" s="86"/>
      <c r="G17" s="86"/>
      <c r="H17" s="87"/>
      <c r="I17" s="88">
        <f t="shared" ca="1" si="3"/>
        <v>2.5912029892330795E-3</v>
      </c>
      <c r="J17" s="88">
        <f t="shared" ca="1" si="2"/>
        <v>2.5912029892330795E-3</v>
      </c>
      <c r="K17" s="88">
        <f t="shared" ca="1" si="2"/>
        <v>2.5912029892330795E-3</v>
      </c>
      <c r="L17" s="88">
        <f t="shared" ca="1" si="2"/>
        <v>2.5912029892330795E-3</v>
      </c>
      <c r="M17" s="89">
        <f t="shared" ca="1" si="2"/>
        <v>2.5912029892330795E-3</v>
      </c>
    </row>
    <row r="18" spans="3:18" x14ac:dyDescent="0.2">
      <c r="C18" s="91" t="s">
        <v>55</v>
      </c>
      <c r="D18" s="92"/>
      <c r="E18" s="93"/>
      <c r="F18" s="93"/>
      <c r="G18" s="93"/>
      <c r="H18" s="94"/>
      <c r="I18" s="95">
        <f t="shared" ca="1" si="3"/>
        <v>0.32523786155716372</v>
      </c>
      <c r="J18" s="95">
        <f t="shared" ca="1" si="2"/>
        <v>0.32523786155716372</v>
      </c>
      <c r="K18" s="95">
        <f t="shared" ca="1" si="2"/>
        <v>0.32523786155716372</v>
      </c>
      <c r="L18" s="95">
        <f t="shared" ca="1" si="2"/>
        <v>0.32523786155716372</v>
      </c>
      <c r="M18" s="96">
        <f t="shared" ca="1" si="2"/>
        <v>0.32523786155716372</v>
      </c>
    </row>
    <row r="19" spans="3:18" x14ac:dyDescent="0.2">
      <c r="C19" s="97"/>
      <c r="H19" s="98"/>
      <c r="M19" s="99"/>
    </row>
    <row r="20" spans="3:18" x14ac:dyDescent="0.2">
      <c r="C20" s="100" t="s">
        <v>46</v>
      </c>
      <c r="D20" s="58"/>
      <c r="H20" s="98"/>
      <c r="M20" s="99"/>
    </row>
    <row r="21" spans="3:18" x14ac:dyDescent="0.2">
      <c r="C21" s="101" t="s">
        <v>52</v>
      </c>
      <c r="D21" s="102"/>
      <c r="H21" s="98"/>
      <c r="I21" s="103">
        <f>+I22-0.01</f>
        <v>3.7000000000000002E-3</v>
      </c>
      <c r="J21" s="103">
        <f>+I21-(($I$21-$M$21)/($M$8-$I$8))</f>
        <v>-2.3600000000000003E-2</v>
      </c>
      <c r="K21" s="103">
        <f t="shared" ref="K21:L21" si="4">+J21-(($I$21-$M$21)/($M$8-$I$8))</f>
        <v>-5.0900000000000001E-2</v>
      </c>
      <c r="L21" s="103">
        <f t="shared" si="4"/>
        <v>-7.8200000000000006E-2</v>
      </c>
      <c r="M21" s="104">
        <f>+M22-0.055</f>
        <v>-0.10550000000000001</v>
      </c>
      <c r="N21" s="57" t="s">
        <v>423</v>
      </c>
    </row>
    <row r="22" spans="3:18" ht="15.75" customHeight="1" x14ac:dyDescent="0.2">
      <c r="C22" s="101" t="s">
        <v>53</v>
      </c>
      <c r="D22" s="105">
        <f>'Revenue Build'!E13</f>
        <v>0</v>
      </c>
      <c r="E22" s="105">
        <f>'Revenue Build'!F13</f>
        <v>-0.18818227728324677</v>
      </c>
      <c r="F22" s="105">
        <f>'Revenue Build'!G13</f>
        <v>9.3155974240619832E-2</v>
      </c>
      <c r="G22" s="105">
        <f>'Revenue Build'!H13</f>
        <v>-8.1153593257322965E-2</v>
      </c>
      <c r="H22" s="106">
        <f>'Revenue Build'!I13</f>
        <v>-0.12015274124254749</v>
      </c>
      <c r="I22" s="64">
        <v>1.37E-2</v>
      </c>
      <c r="J22" s="64">
        <v>-4.0500000000000001E-2</v>
      </c>
      <c r="K22" s="64">
        <v>7.1099999999999997E-2</v>
      </c>
      <c r="L22" s="103">
        <f>+MEDIAN(E22:K22)</f>
        <v>-4.0500000000000001E-2</v>
      </c>
      <c r="M22" s="104">
        <f>+L22-0.01</f>
        <v>-5.0500000000000003E-2</v>
      </c>
      <c r="N22" s="57" t="s">
        <v>432</v>
      </c>
      <c r="O22" s="103"/>
    </row>
    <row r="23" spans="3:18" x14ac:dyDescent="0.2">
      <c r="C23" s="101" t="s">
        <v>54</v>
      </c>
      <c r="D23" s="102"/>
      <c r="H23" s="98"/>
      <c r="I23" s="103">
        <f>+I22+0.01</f>
        <v>2.3699999999999999E-2</v>
      </c>
      <c r="J23" s="103">
        <f>+I23-(($I$23-$M$23)/($M$8-$I$8))</f>
        <v>1.89E-2</v>
      </c>
      <c r="K23" s="103">
        <f>K22+0.01</f>
        <v>8.1099999999999992E-2</v>
      </c>
      <c r="L23" s="103">
        <f>+K23-(($K$23-$M$23)/($M$8-$K$8))</f>
        <v>4.2799999999999991E-2</v>
      </c>
      <c r="M23" s="104">
        <f>+M22+0.055</f>
        <v>4.4999999999999971E-3</v>
      </c>
      <c r="N23" s="107"/>
      <c r="O23" s="107"/>
      <c r="P23" s="107"/>
      <c r="Q23" s="107"/>
      <c r="R23" s="107"/>
    </row>
    <row r="24" spans="3:18" x14ac:dyDescent="0.2">
      <c r="C24" s="97"/>
      <c r="H24" s="98"/>
      <c r="J24" s="425"/>
      <c r="K24" s="425"/>
      <c r="L24" s="425"/>
      <c r="M24" s="427"/>
    </row>
    <row r="25" spans="3:18" x14ac:dyDescent="0.2">
      <c r="C25" s="100" t="s">
        <v>47</v>
      </c>
      <c r="D25" s="58"/>
      <c r="H25" s="98"/>
      <c r="J25" s="426"/>
      <c r="K25" s="426"/>
      <c r="L25" s="426"/>
      <c r="M25" s="428"/>
    </row>
    <row r="26" spans="3:18" x14ac:dyDescent="0.2">
      <c r="C26" s="101" t="s">
        <v>52</v>
      </c>
      <c r="H26" s="98"/>
      <c r="I26" s="103">
        <f>+I27-0.01</f>
        <v>3.7000000000000002E-3</v>
      </c>
      <c r="J26" s="103">
        <f>+I26-(($I$26-$M$26)/($M$8-$I$8))</f>
        <v>5.7499999999999999E-4</v>
      </c>
      <c r="K26" s="103">
        <f t="shared" ref="K26" si="5">+J26-(($I$26-$M$26)/($M$8-$I$8))</f>
        <v>-2.5500000000000002E-3</v>
      </c>
      <c r="L26" s="103">
        <f>+K26-(($I$26-$M$26)/($M$8-$I$8))</f>
        <v>-5.6750000000000004E-3</v>
      </c>
      <c r="M26" s="104">
        <f>+M27-0.0125</f>
        <v>-8.8000000000000005E-3</v>
      </c>
    </row>
    <row r="27" spans="3:18" x14ac:dyDescent="0.2">
      <c r="C27" s="101" t="s">
        <v>53</v>
      </c>
      <c r="D27" s="105">
        <f>'Revenue Build'!E17</f>
        <v>0</v>
      </c>
      <c r="E27" s="105">
        <f>'Revenue Build'!F17</f>
        <v>0.34205606954003809</v>
      </c>
      <c r="F27" s="105">
        <f>'Revenue Build'!G17</f>
        <v>-0.23090369501273644</v>
      </c>
      <c r="G27" s="105">
        <f>'Revenue Build'!H17</f>
        <v>-0.18902569245322232</v>
      </c>
      <c r="H27" s="106">
        <f>'Revenue Build'!I17</f>
        <v>0.21170108983907077</v>
      </c>
      <c r="I27" s="64">
        <v>1.37E-2</v>
      </c>
      <c r="J27" s="64">
        <v>-4.0500000000000001E-2</v>
      </c>
      <c r="K27" s="64">
        <v>7.1099999999999997E-2</v>
      </c>
      <c r="L27" s="103">
        <f>+MEDIAN(E27:K27)</f>
        <v>1.37E-2</v>
      </c>
      <c r="M27" s="104">
        <f>L27-0.01</f>
        <v>3.7000000000000002E-3</v>
      </c>
      <c r="N27" s="57" t="s">
        <v>432</v>
      </c>
      <c r="O27" s="103"/>
    </row>
    <row r="28" spans="3:18" x14ac:dyDescent="0.2">
      <c r="C28" s="101" t="s">
        <v>54</v>
      </c>
      <c r="D28" s="108"/>
      <c r="H28" s="98"/>
      <c r="I28" s="103">
        <f>+I27+0.01</f>
        <v>2.3699999999999999E-2</v>
      </c>
      <c r="J28" s="103">
        <f>+I28-(($I$28-$M$28)/($M$8-$I$8))</f>
        <v>2.1824999999999997E-2</v>
      </c>
      <c r="K28" s="103">
        <f>K27+0.01</f>
        <v>8.1099999999999992E-2</v>
      </c>
      <c r="L28" s="103">
        <f>+K28-(($K$28-$M$28)/($M$8-$K$8))</f>
        <v>4.8649999999999999E-2</v>
      </c>
      <c r="M28" s="104">
        <f>+M27+0.0125</f>
        <v>1.6199999999999999E-2</v>
      </c>
    </row>
    <row r="29" spans="3:18" x14ac:dyDescent="0.2">
      <c r="C29" s="97"/>
      <c r="D29" s="109"/>
      <c r="H29" s="98"/>
      <c r="M29" s="99"/>
    </row>
    <row r="30" spans="3:18" x14ac:dyDescent="0.2">
      <c r="C30" s="100" t="s">
        <v>48</v>
      </c>
      <c r="D30" s="110"/>
      <c r="H30" s="98"/>
      <c r="M30" s="99"/>
    </row>
    <row r="31" spans="3:18" x14ac:dyDescent="0.2">
      <c r="C31" s="101" t="s">
        <v>52</v>
      </c>
      <c r="D31" s="108"/>
      <c r="H31" s="98"/>
      <c r="I31" s="103">
        <f>+I32-0.01</f>
        <v>3.7000000000000002E-3</v>
      </c>
      <c r="J31" s="103">
        <f>+I31-(($I$31-$M$31)/($M$8-$J$8))</f>
        <v>-2.1333333333333334E-3</v>
      </c>
      <c r="K31" s="103">
        <f t="shared" ref="K31" si="6">+J31-(($I$31-$M$31)/($M$8-$J$8))</f>
        <v>-7.966666666666667E-3</v>
      </c>
      <c r="L31" s="103">
        <f>+K31-(($I$31-$M$31)/($M$8-$I$8))</f>
        <v>-1.2341666666666667E-2</v>
      </c>
      <c r="M31" s="104">
        <f>+M32-0.0175</f>
        <v>-1.3800000000000002E-2</v>
      </c>
    </row>
    <row r="32" spans="3:18" x14ac:dyDescent="0.2">
      <c r="C32" s="101" t="s">
        <v>53</v>
      </c>
      <c r="D32" s="105">
        <f>'Revenue Build'!E21</f>
        <v>0</v>
      </c>
      <c r="E32" s="105">
        <f>'Revenue Build'!F21</f>
        <v>9.7214969456119515E-2</v>
      </c>
      <c r="F32" s="105">
        <f>'Revenue Build'!G21</f>
        <v>-0.23142917879727987</v>
      </c>
      <c r="G32" s="105">
        <f>'Revenue Build'!H21</f>
        <v>-6.1296829944598064E-2</v>
      </c>
      <c r="H32" s="106">
        <f>'Revenue Build'!I21</f>
        <v>0.39658478706669542</v>
      </c>
      <c r="I32" s="64">
        <v>1.37E-2</v>
      </c>
      <c r="J32" s="64">
        <v>-4.0500000000000001E-2</v>
      </c>
      <c r="K32" s="64">
        <v>7.1099999999999997E-2</v>
      </c>
      <c r="L32" s="103">
        <f>MEDIAN(E32:K32)</f>
        <v>1.37E-2</v>
      </c>
      <c r="M32" s="104">
        <f>L32-0.01</f>
        <v>3.7000000000000002E-3</v>
      </c>
      <c r="N32" s="57" t="s">
        <v>432</v>
      </c>
      <c r="O32" s="103"/>
    </row>
    <row r="33" spans="3:18" x14ac:dyDescent="0.2">
      <c r="C33" s="101" t="s">
        <v>54</v>
      </c>
      <c r="D33" s="102"/>
      <c r="H33" s="98"/>
      <c r="I33" s="103">
        <f>+I32+0.01</f>
        <v>2.3699999999999999E-2</v>
      </c>
      <c r="J33" s="103">
        <f>+I33-(($I$33-$M$33)/($M$8-$I$8))</f>
        <v>2.3074999999999998E-2</v>
      </c>
      <c r="K33" s="103">
        <f>K32+0.01</f>
        <v>8.1099999999999992E-2</v>
      </c>
      <c r="L33" s="103">
        <f>+K33-($K$33-$M$33)/($M$8-$K$8)</f>
        <v>5.1150000000000001E-2</v>
      </c>
      <c r="M33" s="104">
        <f>+M32+0.0175</f>
        <v>2.1200000000000004E-2</v>
      </c>
      <c r="N33" s="111" t="s">
        <v>71</v>
      </c>
    </row>
    <row r="34" spans="3:18" x14ac:dyDescent="0.2">
      <c r="C34" s="101"/>
      <c r="D34" s="102"/>
      <c r="H34" s="98"/>
      <c r="I34" s="103"/>
      <c r="J34" s="103"/>
      <c r="K34" s="103"/>
      <c r="L34" s="103"/>
      <c r="M34" s="104"/>
      <c r="N34" s="111"/>
    </row>
    <row r="35" spans="3:18" x14ac:dyDescent="0.2">
      <c r="C35" s="100" t="s">
        <v>294</v>
      </c>
      <c r="H35" s="98"/>
      <c r="M35" s="99"/>
      <c r="N35" s="112"/>
      <c r="O35" s="112"/>
      <c r="P35" s="112"/>
      <c r="Q35" s="112"/>
      <c r="R35" s="112"/>
    </row>
    <row r="36" spans="3:18" x14ac:dyDescent="0.2">
      <c r="C36" s="101" t="s">
        <v>52</v>
      </c>
      <c r="H36" s="98"/>
      <c r="I36" s="103">
        <f>+I37-0.01</f>
        <v>3.7000000000000002E-3</v>
      </c>
      <c r="J36" s="103">
        <f>+I36-(($I$36-$M$36)/($M$8-$I$8))</f>
        <v>-1.7653485192808162E-2</v>
      </c>
      <c r="K36" s="103">
        <f t="shared" ref="K36:L36" si="7">+J36-(($I$36-$M$36)/($M$8-$I$8))</f>
        <v>-3.9006970385616319E-2</v>
      </c>
      <c r="L36" s="103">
        <f t="shared" si="7"/>
        <v>-6.0360455578424482E-2</v>
      </c>
      <c r="M36" s="104">
        <f>+M37-0.0125</f>
        <v>-8.1713940771232646E-2</v>
      </c>
      <c r="N36" s="112"/>
      <c r="O36" s="112"/>
      <c r="P36" s="112"/>
      <c r="Q36" s="112"/>
      <c r="R36" s="112"/>
    </row>
    <row r="37" spans="3:18" x14ac:dyDescent="0.2">
      <c r="C37" s="101" t="s">
        <v>53</v>
      </c>
      <c r="D37" s="105">
        <f>+'Revenue Build'!E25</f>
        <v>0</v>
      </c>
      <c r="E37" s="105">
        <f>+'Revenue Build'!F25</f>
        <v>-0.4478988865011807</v>
      </c>
      <c r="F37" s="105">
        <f>+'Revenue Build'!G25</f>
        <v>-5.9213940771232654E-2</v>
      </c>
      <c r="G37" s="105">
        <f>+'Revenue Build'!H25</f>
        <v>-0.73406523776069765</v>
      </c>
      <c r="H37" s="106">
        <f>+'Revenue Build'!I25</f>
        <v>-0.49297017319878689</v>
      </c>
      <c r="I37" s="64">
        <v>1.37E-2</v>
      </c>
      <c r="J37" s="64">
        <v>-4.0500000000000001E-2</v>
      </c>
      <c r="K37" s="64">
        <v>7.1099999999999997E-2</v>
      </c>
      <c r="L37" s="103">
        <f>+MEDIAN(E37:K37)</f>
        <v>-5.9213940771232654E-2</v>
      </c>
      <c r="M37" s="104">
        <f>L37-0.01</f>
        <v>-6.9213940771232649E-2</v>
      </c>
      <c r="N37" s="57" t="s">
        <v>432</v>
      </c>
      <c r="O37" s="103"/>
    </row>
    <row r="38" spans="3:18" x14ac:dyDescent="0.2">
      <c r="C38" s="101" t="s">
        <v>54</v>
      </c>
      <c r="H38" s="98"/>
      <c r="I38" s="103">
        <f>+I37+0.01</f>
        <v>2.3699999999999999E-2</v>
      </c>
      <c r="J38" s="103">
        <f>+I38-(($I$38-$M$38)/($M$8-$I$8))</f>
        <v>3.5965148071918362E-3</v>
      </c>
      <c r="K38" s="103">
        <f t="shared" ref="K38:L38" si="8">+J38-(($I$38-$M$38)/($M$8-$I$8))</f>
        <v>-1.6506970385616326E-2</v>
      </c>
      <c r="L38" s="103">
        <f t="shared" si="8"/>
        <v>-3.6610455578424489E-2</v>
      </c>
      <c r="M38" s="104">
        <f>+M37+0.0125</f>
        <v>-5.6713940771232652E-2</v>
      </c>
      <c r="N38" s="112"/>
      <c r="O38" s="112"/>
      <c r="P38" s="112"/>
      <c r="Q38" s="112"/>
      <c r="R38" s="112"/>
    </row>
    <row r="39" spans="3:18" x14ac:dyDescent="0.2">
      <c r="C39" s="97"/>
      <c r="H39" s="98"/>
      <c r="M39" s="99"/>
      <c r="N39" s="112"/>
      <c r="O39" s="112"/>
      <c r="P39" s="112"/>
      <c r="Q39" s="112"/>
      <c r="R39" s="112"/>
    </row>
    <row r="40" spans="3:18" x14ac:dyDescent="0.2">
      <c r="C40" s="100" t="s">
        <v>49</v>
      </c>
      <c r="D40" s="58"/>
      <c r="H40" s="98"/>
      <c r="M40" s="99"/>
    </row>
    <row r="41" spans="3:18" x14ac:dyDescent="0.2">
      <c r="C41" s="101" t="s">
        <v>52</v>
      </c>
      <c r="D41" s="102"/>
      <c r="H41" s="98"/>
      <c r="I41" s="103">
        <f>I42-0.015</f>
        <v>0.14055221082435948</v>
      </c>
      <c r="J41" s="103">
        <f t="shared" ref="J41:M41" si="9">J42-0.015</f>
        <v>0.14055221082435948</v>
      </c>
      <c r="K41" s="103">
        <f t="shared" si="9"/>
        <v>0.14055221082435948</v>
      </c>
      <c r="L41" s="103">
        <f t="shared" si="9"/>
        <v>0.14055221082435948</v>
      </c>
      <c r="M41" s="104">
        <f t="shared" si="9"/>
        <v>0.14055221082435948</v>
      </c>
    </row>
    <row r="42" spans="3:18" x14ac:dyDescent="0.2">
      <c r="C42" s="101" t="s">
        <v>53</v>
      </c>
      <c r="D42" s="103">
        <f>'Financial Statement Model'!D29/'Financial Statement Model'!D27</f>
        <v>0.17147707979626486</v>
      </c>
      <c r="E42" s="103">
        <f>'Financial Statement Model'!E29/'Financial Statement Model'!E27</f>
        <v>0.19930457941851001</v>
      </c>
      <c r="F42" s="103">
        <f>'Financial Statement Model'!F29/'Financial Statement Model'!F27</f>
        <v>0.11453072891853264</v>
      </c>
      <c r="G42" s="103">
        <f>'Financial Statement Model'!G29/'Financial Statement Model'!G27</f>
        <v>8.1626120358514728E-2</v>
      </c>
      <c r="H42" s="113">
        <f>'Financial Statement Model'!H29/'Financial Statement Model'!H27</f>
        <v>0.21082254562997507</v>
      </c>
      <c r="I42" s="103">
        <f>AVERAGE(D42:H42)</f>
        <v>0.15555221082435947</v>
      </c>
      <c r="J42" s="103">
        <f t="shared" ref="J42:M42" si="10">+I42</f>
        <v>0.15555221082435947</v>
      </c>
      <c r="K42" s="103">
        <f t="shared" si="10"/>
        <v>0.15555221082435947</v>
      </c>
      <c r="L42" s="103">
        <f t="shared" si="10"/>
        <v>0.15555221082435947</v>
      </c>
      <c r="M42" s="104">
        <f t="shared" si="10"/>
        <v>0.15555221082435947</v>
      </c>
      <c r="N42" s="107"/>
      <c r="O42" s="107"/>
      <c r="P42" s="107"/>
      <c r="Q42" s="107"/>
      <c r="R42" s="107"/>
    </row>
    <row r="43" spans="3:18" x14ac:dyDescent="0.2">
      <c r="C43" s="101" t="s">
        <v>54</v>
      </c>
      <c r="D43" s="102"/>
      <c r="H43" s="98"/>
      <c r="I43" s="103">
        <f>I42+0.015</f>
        <v>0.17055221082435945</v>
      </c>
      <c r="J43" s="103">
        <f t="shared" ref="J43:M43" si="11">J42+0.015</f>
        <v>0.17055221082435945</v>
      </c>
      <c r="K43" s="103">
        <f t="shared" si="11"/>
        <v>0.17055221082435945</v>
      </c>
      <c r="L43" s="103">
        <f t="shared" si="11"/>
        <v>0.17055221082435945</v>
      </c>
      <c r="M43" s="104">
        <f t="shared" si="11"/>
        <v>0.17055221082435945</v>
      </c>
      <c r="O43" s="103"/>
      <c r="P43" s="103"/>
      <c r="Q43" s="103"/>
      <c r="R43" s="103"/>
    </row>
    <row r="44" spans="3:18" x14ac:dyDescent="0.2">
      <c r="C44" s="97"/>
      <c r="H44" s="98"/>
      <c r="M44" s="99"/>
    </row>
    <row r="45" spans="3:18" x14ac:dyDescent="0.2">
      <c r="C45" s="100" t="s">
        <v>50</v>
      </c>
      <c r="D45" s="58"/>
      <c r="H45" s="98"/>
      <c r="M45" s="99"/>
    </row>
    <row r="46" spans="3:18" x14ac:dyDescent="0.2">
      <c r="C46" s="101" t="s">
        <v>52</v>
      </c>
      <c r="D46" s="102"/>
      <c r="H46" s="98"/>
      <c r="I46" s="103">
        <f>I47+0.005</f>
        <v>2.6805618956939073E-2</v>
      </c>
      <c r="J46" s="103">
        <f t="shared" ref="J46:M46" si="12">J47+0.005</f>
        <v>2.6805618956939073E-2</v>
      </c>
      <c r="K46" s="103">
        <f t="shared" si="12"/>
        <v>2.6805618956939073E-2</v>
      </c>
      <c r="L46" s="103">
        <f t="shared" si="12"/>
        <v>2.6805618956939073E-2</v>
      </c>
      <c r="M46" s="104">
        <f t="shared" si="12"/>
        <v>2.6805618956939073E-2</v>
      </c>
    </row>
    <row r="47" spans="3:18" x14ac:dyDescent="0.2">
      <c r="C47" s="101" t="s">
        <v>53</v>
      </c>
      <c r="D47" s="103">
        <f>-'Financial Statement Model'!D30/'Financial Statement Model'!D27</f>
        <v>2.3769100169779286E-2</v>
      </c>
      <c r="E47" s="103">
        <f>-'Financial Statement Model'!E30/'Financial Statement Model'!E27</f>
        <v>1.8347266405267442E-2</v>
      </c>
      <c r="F47" s="103">
        <f>-'Financial Statement Model'!F30/'Financial Statement Model'!F27</f>
        <v>2.6679371129109099E-2</v>
      </c>
      <c r="G47" s="103">
        <f>-'Financial Statement Model'!G30/'Financial Statement Model'!G27</f>
        <v>2.1980367050789585E-2</v>
      </c>
      <c r="H47" s="113">
        <f>-'Financial Statement Model'!H30/'Financial Statement Model'!H27</f>
        <v>1.8251990029749941E-2</v>
      </c>
      <c r="I47" s="103">
        <f>AVERAGE(D47:H47)</f>
        <v>2.1805618956939072E-2</v>
      </c>
      <c r="J47" s="103">
        <f>I47</f>
        <v>2.1805618956939072E-2</v>
      </c>
      <c r="K47" s="103">
        <f t="shared" ref="K47:M47" si="13">J47</f>
        <v>2.1805618956939072E-2</v>
      </c>
      <c r="L47" s="103">
        <f t="shared" si="13"/>
        <v>2.1805618956939072E-2</v>
      </c>
      <c r="M47" s="104">
        <f t="shared" si="13"/>
        <v>2.1805618956939072E-2</v>
      </c>
      <c r="P47" s="111"/>
      <c r="Q47" s="111"/>
      <c r="R47" s="111"/>
    </row>
    <row r="48" spans="3:18" x14ac:dyDescent="0.2">
      <c r="C48" s="101" t="s">
        <v>54</v>
      </c>
      <c r="D48" s="102"/>
      <c r="H48" s="98"/>
      <c r="I48" s="103">
        <f>I47-0.005</f>
        <v>1.6805618956939071E-2</v>
      </c>
      <c r="J48" s="103">
        <f t="shared" ref="J48:M48" si="14">J47-0.005</f>
        <v>1.6805618956939071E-2</v>
      </c>
      <c r="K48" s="103">
        <f t="shared" si="14"/>
        <v>1.6805618956939071E-2</v>
      </c>
      <c r="L48" s="103">
        <f t="shared" si="14"/>
        <v>1.6805618956939071E-2</v>
      </c>
      <c r="M48" s="104">
        <f t="shared" si="14"/>
        <v>1.6805618956939071E-2</v>
      </c>
    </row>
    <row r="49" spans="3:17" x14ac:dyDescent="0.2">
      <c r="C49" s="97"/>
      <c r="H49" s="98"/>
      <c r="M49" s="99"/>
    </row>
    <row r="50" spans="3:17" x14ac:dyDescent="0.2">
      <c r="C50" s="100" t="s">
        <v>51</v>
      </c>
      <c r="D50" s="58"/>
      <c r="H50" s="98"/>
      <c r="M50" s="99"/>
    </row>
    <row r="51" spans="3:17" x14ac:dyDescent="0.2">
      <c r="C51" s="101" t="s">
        <v>52</v>
      </c>
      <c r="D51" s="102"/>
      <c r="H51" s="98"/>
      <c r="I51" s="103">
        <f>I52+0.0003</f>
        <v>2.8912029892330794E-3</v>
      </c>
      <c r="J51" s="103">
        <f t="shared" ref="J51:M51" si="15">J52+0.0003</f>
        <v>2.8912029892330794E-3</v>
      </c>
      <c r="K51" s="103">
        <f t="shared" si="15"/>
        <v>2.8912029892330794E-3</v>
      </c>
      <c r="L51" s="103">
        <f t="shared" si="15"/>
        <v>2.8912029892330794E-3</v>
      </c>
      <c r="M51" s="104">
        <f t="shared" si="15"/>
        <v>2.8912029892330794E-3</v>
      </c>
    </row>
    <row r="52" spans="3:17" x14ac:dyDescent="0.2">
      <c r="C52" s="101" t="s">
        <v>53</v>
      </c>
      <c r="D52" s="103">
        <f>-'Financial Statement Model'!D31/'Financial Statement Model'!D27</f>
        <v>2.7164685908319186E-3</v>
      </c>
      <c r="E52" s="103">
        <f>-'Financial Statement Model'!E31/'Financial Statement Model'!E27</f>
        <v>2.2934083006584303E-3</v>
      </c>
      <c r="F52" s="103">
        <f>-'Financial Statement Model'!F31/'Financial Statement Model'!F27</f>
        <v>2.5726536445926634E-3</v>
      </c>
      <c r="G52" s="103">
        <f>-'Financial Statement Model'!G31/'Financial Statement Model'!G27</f>
        <v>2.8809218950064022E-3</v>
      </c>
      <c r="H52" s="113">
        <f>-'Financial Statement Model'!H31/'Financial Statement Model'!H27</f>
        <v>2.492562515075983E-3</v>
      </c>
      <c r="I52" s="103">
        <f>AVERAGE(D52:H52)</f>
        <v>2.5912029892330795E-3</v>
      </c>
      <c r="J52" s="103">
        <f>I52</f>
        <v>2.5912029892330795E-3</v>
      </c>
      <c r="K52" s="103">
        <f t="shared" ref="K52:M52" si="16">J52</f>
        <v>2.5912029892330795E-3</v>
      </c>
      <c r="L52" s="103">
        <f t="shared" si="16"/>
        <v>2.5912029892330795E-3</v>
      </c>
      <c r="M52" s="104">
        <f t="shared" si="16"/>
        <v>2.5912029892330795E-3</v>
      </c>
    </row>
    <row r="53" spans="3:17" x14ac:dyDescent="0.2">
      <c r="C53" s="101" t="s">
        <v>54</v>
      </c>
      <c r="D53" s="102"/>
      <c r="H53" s="98"/>
      <c r="I53" s="103">
        <f>I52-0.0003</f>
        <v>2.2912029892330796E-3</v>
      </c>
      <c r="J53" s="103">
        <f t="shared" ref="J53:M53" si="17">J52-0.0003</f>
        <v>2.2912029892330796E-3</v>
      </c>
      <c r="K53" s="103">
        <f t="shared" si="17"/>
        <v>2.2912029892330796E-3</v>
      </c>
      <c r="L53" s="103">
        <f t="shared" si="17"/>
        <v>2.2912029892330796E-3</v>
      </c>
      <c r="M53" s="104">
        <f t="shared" si="17"/>
        <v>2.2912029892330796E-3</v>
      </c>
    </row>
    <row r="54" spans="3:17" x14ac:dyDescent="0.2">
      <c r="C54" s="97"/>
      <c r="H54" s="98"/>
      <c r="M54" s="99"/>
    </row>
    <row r="55" spans="3:17" x14ac:dyDescent="0.2">
      <c r="C55" s="100" t="s">
        <v>55</v>
      </c>
      <c r="H55" s="98"/>
      <c r="M55" s="99"/>
    </row>
    <row r="56" spans="3:17" x14ac:dyDescent="0.2">
      <c r="C56" s="101" t="s">
        <v>52</v>
      </c>
      <c r="H56" s="98"/>
      <c r="I56" s="103">
        <f>I57+0.025</f>
        <v>0.35023786155716374</v>
      </c>
      <c r="J56" s="103">
        <f t="shared" ref="J56:M56" si="18">J57+0.025</f>
        <v>0.35023786155716374</v>
      </c>
      <c r="K56" s="103">
        <f t="shared" si="18"/>
        <v>0.35023786155716374</v>
      </c>
      <c r="L56" s="103">
        <f t="shared" si="18"/>
        <v>0.35023786155716374</v>
      </c>
      <c r="M56" s="104">
        <f t="shared" si="18"/>
        <v>0.35023786155716374</v>
      </c>
      <c r="N56" s="103"/>
      <c r="O56" s="103"/>
      <c r="P56" s="103"/>
      <c r="Q56" s="103"/>
    </row>
    <row r="57" spans="3:17" x14ac:dyDescent="0.2">
      <c r="C57" s="101" t="s">
        <v>53</v>
      </c>
      <c r="D57" s="103">
        <f>-'Financial Statement Model'!D36/'Financial Statement Model'!D35</f>
        <v>0.51768766177739434</v>
      </c>
      <c r="E57" s="103">
        <f>-'Financial Statement Model'!E36/'Financial Statement Model'!E35</f>
        <v>0.45046153846153847</v>
      </c>
      <c r="F57" s="103">
        <f>-'Financial Statement Model'!F36/'Financial Statement Model'!F35</f>
        <v>-0.94748858447488582</v>
      </c>
      <c r="G57" s="103">
        <f>-'Financial Statement Model'!G36/'Financial Statement Model'!G35</f>
        <v>1.0809248554913296</v>
      </c>
      <c r="H57" s="113">
        <f>-'Financial Statement Model'!H36/'Financial Statement Model'!H35</f>
        <v>0.52460383653044207</v>
      </c>
      <c r="I57" s="103">
        <f>AVERAGE(D57:H57)</f>
        <v>0.32523786155716372</v>
      </c>
      <c r="J57" s="103">
        <f>I57</f>
        <v>0.32523786155716372</v>
      </c>
      <c r="K57" s="103">
        <f t="shared" ref="K57:M57" si="19">J57</f>
        <v>0.32523786155716372</v>
      </c>
      <c r="L57" s="103">
        <f t="shared" si="19"/>
        <v>0.32523786155716372</v>
      </c>
      <c r="M57" s="104">
        <f t="shared" si="19"/>
        <v>0.32523786155716372</v>
      </c>
    </row>
    <row r="58" spans="3:17" ht="17" thickBot="1" x14ac:dyDescent="0.25">
      <c r="C58" s="114" t="s">
        <v>54</v>
      </c>
      <c r="D58" s="62"/>
      <c r="E58" s="62"/>
      <c r="F58" s="62"/>
      <c r="G58" s="62"/>
      <c r="H58" s="115"/>
      <c r="I58" s="116">
        <f>I57-0.025</f>
        <v>0.3002378615571637</v>
      </c>
      <c r="J58" s="116">
        <f t="shared" ref="J58:M58" si="20">J57-0.025</f>
        <v>0.3002378615571637</v>
      </c>
      <c r="K58" s="116">
        <f t="shared" si="20"/>
        <v>0.3002378615571637</v>
      </c>
      <c r="L58" s="116">
        <f t="shared" si="20"/>
        <v>0.3002378615571637</v>
      </c>
      <c r="M58" s="117">
        <f t="shared" si="20"/>
        <v>0.3002378615571637</v>
      </c>
    </row>
  </sheetData>
  <dataValidations count="1">
    <dataValidation type="list" allowBlank="1" showInputMessage="1" showErrorMessage="1" sqref="D6" xr:uid="{7CCF70E0-4FE0-104E-B6AD-3B3B5CDF76B5}">
      <formula1>$C$21:$C$23</formula1>
    </dataValidation>
  </dataValidation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6730F-17C8-6F4F-B108-4782E6491A54}">
  <dimension ref="A2:T29"/>
  <sheetViews>
    <sheetView showGridLines="0" zoomScale="110" zoomScaleNormal="110" workbookViewId="0">
      <selection activeCell="G32" sqref="G32"/>
    </sheetView>
  </sheetViews>
  <sheetFormatPr baseColWidth="10" defaultColWidth="11" defaultRowHeight="16" x14ac:dyDescent="0.2"/>
  <cols>
    <col min="1" max="2" width="1.83203125" style="57" customWidth="1"/>
    <col min="3" max="3" width="50.6640625" style="57" customWidth="1"/>
    <col min="4" max="14" width="10.6640625" style="57" customWidth="1"/>
    <col min="15" max="15" width="11" style="57"/>
  </cols>
  <sheetData>
    <row r="2" spans="2:17" x14ac:dyDescent="0.2">
      <c r="B2" s="57" t="s">
        <v>0</v>
      </c>
      <c r="C2" s="58" t="s">
        <v>45</v>
      </c>
      <c r="D2" s="59"/>
    </row>
    <row r="3" spans="2:17" ht="17" thickBot="1" x14ac:dyDescent="0.25">
      <c r="C3" s="60" t="s">
        <v>77</v>
      </c>
      <c r="D3" s="61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2:17" x14ac:dyDescent="0.2">
      <c r="C4" s="63" t="s">
        <v>61</v>
      </c>
      <c r="D4" s="59"/>
    </row>
    <row r="5" spans="2:17" ht="17" thickBot="1" x14ac:dyDescent="0.25">
      <c r="C5" s="63"/>
      <c r="D5" s="59"/>
    </row>
    <row r="6" spans="2:17" x14ac:dyDescent="0.2">
      <c r="B6" s="57" t="s">
        <v>0</v>
      </c>
      <c r="C6" s="65" t="s">
        <v>9</v>
      </c>
      <c r="D6" s="119"/>
      <c r="E6" s="66">
        <f>F6-1</f>
        <v>2017</v>
      </c>
      <c r="F6" s="66">
        <f>G6-1</f>
        <v>2018</v>
      </c>
      <c r="G6" s="66">
        <f>H6-1</f>
        <v>2019</v>
      </c>
      <c r="H6" s="66">
        <f>I6-1</f>
        <v>2020</v>
      </c>
      <c r="I6" s="67">
        <v>2021</v>
      </c>
      <c r="J6" s="68">
        <f>I6+1</f>
        <v>2022</v>
      </c>
      <c r="K6" s="68">
        <f t="shared" ref="K6:N6" si="0">J6+1</f>
        <v>2023</v>
      </c>
      <c r="L6" s="68">
        <f t="shared" si="0"/>
        <v>2024</v>
      </c>
      <c r="M6" s="68">
        <f t="shared" si="0"/>
        <v>2025</v>
      </c>
      <c r="N6" s="69">
        <f t="shared" si="0"/>
        <v>2026</v>
      </c>
    </row>
    <row r="7" spans="2:17" ht="17" thickBot="1" x14ac:dyDescent="0.25">
      <c r="C7" s="70" t="s">
        <v>8</v>
      </c>
      <c r="D7" s="120"/>
      <c r="E7" s="71">
        <f>EOMONTH(F7,-12)</f>
        <v>43100</v>
      </c>
      <c r="F7" s="71">
        <f>EOMONTH(G7,-12)</f>
        <v>43465</v>
      </c>
      <c r="G7" s="71">
        <f>EOMONTH(H7,-12)</f>
        <v>43830</v>
      </c>
      <c r="H7" s="71">
        <f>EOMONTH(I7,-12)</f>
        <v>44196</v>
      </c>
      <c r="I7" s="72">
        <f>'Financial Statement Model'!D10</f>
        <v>44561</v>
      </c>
      <c r="J7" s="71">
        <f>EOMONTH(I7,12)</f>
        <v>44926</v>
      </c>
      <c r="K7" s="71">
        <f t="shared" ref="K7:N7" si="1">EOMONTH(J7,12)</f>
        <v>45291</v>
      </c>
      <c r="L7" s="71">
        <f t="shared" si="1"/>
        <v>45657</v>
      </c>
      <c r="M7" s="71">
        <f t="shared" si="1"/>
        <v>46022</v>
      </c>
      <c r="N7" s="73">
        <f t="shared" si="1"/>
        <v>46387</v>
      </c>
    </row>
    <row r="8" spans="2:17" x14ac:dyDescent="0.2">
      <c r="C8" s="176" t="s">
        <v>10</v>
      </c>
      <c r="D8" s="75"/>
      <c r="E8" s="121">
        <f>'Financial Statement Model'!D27</f>
        <v>11780</v>
      </c>
      <c r="F8" s="121">
        <f>'Financial Statement Model'!E27</f>
        <v>13517</v>
      </c>
      <c r="G8" s="121">
        <f>'Financial Statement Model'!F27</f>
        <v>10495</v>
      </c>
      <c r="H8" s="121">
        <f>'Financial Statement Model'!G27</f>
        <v>9372</v>
      </c>
      <c r="I8" s="144">
        <f>'Financial Statement Model'!H27</f>
        <v>12437</v>
      </c>
      <c r="J8" s="122">
        <f ca="1">J12+J16+J20+J24</f>
        <v>12607.386269630657</v>
      </c>
      <c r="K8" s="122">
        <f t="shared" ref="K8:N8" ca="1" si="2">K12+K16+K20+K24</f>
        <v>12096.787125710614</v>
      </c>
      <c r="L8" s="122">
        <f t="shared" ca="1" si="2"/>
        <v>12956.868690348638</v>
      </c>
      <c r="M8" s="122">
        <f t="shared" ca="1" si="2"/>
        <v>13119.884211280125</v>
      </c>
      <c r="N8" s="123">
        <f t="shared" ca="1" si="2"/>
        <v>13154.537196432328</v>
      </c>
    </row>
    <row r="9" spans="2:17" x14ac:dyDescent="0.2">
      <c r="C9" s="363" t="s">
        <v>60</v>
      </c>
      <c r="D9" s="59"/>
      <c r="E9" s="59"/>
      <c r="F9" s="125"/>
      <c r="G9" s="125">
        <f>G8/F8-1</f>
        <v>-0.22357031885773471</v>
      </c>
      <c r="H9" s="125">
        <f t="shared" ref="H9:I9" si="3">H8/G8-1</f>
        <v>-0.10700333492139114</v>
      </c>
      <c r="I9" s="429">
        <f t="shared" si="3"/>
        <v>0.32703798548868979</v>
      </c>
      <c r="J9" s="125">
        <f ca="1">J8/I8-1</f>
        <v>1.3699949315000071E-2</v>
      </c>
      <c r="K9" s="125">
        <f t="shared" ref="K9" ca="1" si="4">K8/J8-1</f>
        <v>-4.0500000000000091E-2</v>
      </c>
      <c r="L9" s="125">
        <f t="shared" ref="L9" ca="1" si="5">L8/K8-1</f>
        <v>7.1099999999999941E-2</v>
      </c>
      <c r="M9" s="125">
        <f t="shared" ref="M9" ca="1" si="6">M8/L8-1</f>
        <v>1.2581397930883975E-2</v>
      </c>
      <c r="N9" s="126">
        <f t="shared" ref="N9" ca="1" si="7">N8/M8-1</f>
        <v>2.6412569344482772E-3</v>
      </c>
    </row>
    <row r="10" spans="2:17" x14ac:dyDescent="0.2">
      <c r="C10" s="124"/>
      <c r="D10" s="59"/>
      <c r="E10" s="59"/>
      <c r="I10" s="98"/>
      <c r="N10" s="99"/>
    </row>
    <row r="11" spans="2:17" x14ac:dyDescent="0.2">
      <c r="C11" s="100" t="s">
        <v>419</v>
      </c>
      <c r="D11" s="59"/>
      <c r="E11" s="59"/>
      <c r="I11" s="98"/>
      <c r="N11" s="99"/>
    </row>
    <row r="12" spans="2:17" x14ac:dyDescent="0.2">
      <c r="C12" s="97" t="s">
        <v>56</v>
      </c>
      <c r="E12" s="127">
        <f>+E14*E8</f>
        <v>336.65802839999998</v>
      </c>
      <c r="F12" s="127">
        <f t="shared" ref="F12:I12" si="8">+F14*F8</f>
        <v>273.30495395000003</v>
      </c>
      <c r="G12" s="127">
        <f t="shared" si="8"/>
        <v>298.7649432</v>
      </c>
      <c r="H12" s="127">
        <f t="shared" si="8"/>
        <v>274.51909452000001</v>
      </c>
      <c r="I12" s="430">
        <f t="shared" si="8"/>
        <v>241.53487279000001</v>
      </c>
      <c r="J12" s="128">
        <f ca="1">I12*(1+J13)</f>
        <v>244.84390054722303</v>
      </c>
      <c r="K12" s="128">
        <f t="shared" ref="K12:N12" ca="1" si="9">J12*(1+K13)</f>
        <v>234.9277225750605</v>
      </c>
      <c r="L12" s="128">
        <f t="shared" ca="1" si="9"/>
        <v>251.63108365014727</v>
      </c>
      <c r="M12" s="128">
        <f t="shared" ca="1" si="9"/>
        <v>241.44002476231631</v>
      </c>
      <c r="N12" s="129">
        <f t="shared" ca="1" si="9"/>
        <v>229.24730351181935</v>
      </c>
    </row>
    <row r="13" spans="2:17" x14ac:dyDescent="0.2">
      <c r="C13" s="363" t="s">
        <v>60</v>
      </c>
      <c r="D13" s="59"/>
      <c r="E13" s="103"/>
      <c r="F13" s="103">
        <f>F12/E12-1</f>
        <v>-0.18818227728324677</v>
      </c>
      <c r="G13" s="103">
        <f>G12/F12-1</f>
        <v>9.3155974240619832E-2</v>
      </c>
      <c r="H13" s="103">
        <f t="shared" ref="H13:I13" si="10">H12/G12-1</f>
        <v>-8.1153593257322965E-2</v>
      </c>
      <c r="I13" s="113">
        <f t="shared" si="10"/>
        <v>-0.12015274124254749</v>
      </c>
      <c r="J13" s="105">
        <f ca="1">Assumptions!I11</f>
        <v>1.37E-2</v>
      </c>
      <c r="K13" s="105">
        <f ca="1">Assumptions!J11</f>
        <v>-4.0500000000000001E-2</v>
      </c>
      <c r="L13" s="105">
        <f ca="1">Assumptions!K11</f>
        <v>7.1099999999999997E-2</v>
      </c>
      <c r="M13" s="105">
        <f ca="1">Assumptions!L11</f>
        <v>-4.0500000000000001E-2</v>
      </c>
      <c r="N13" s="130">
        <f ca="1">Assumptions!M11</f>
        <v>-5.0500000000000003E-2</v>
      </c>
    </row>
    <row r="14" spans="2:17" x14ac:dyDescent="0.2">
      <c r="C14" s="363" t="s">
        <v>59</v>
      </c>
      <c r="D14" s="59"/>
      <c r="E14" s="103">
        <f>'Historical Rev. - % - FS'!G7/100</f>
        <v>2.8578779999999998E-2</v>
      </c>
      <c r="F14" s="103">
        <f>'Historical Rev. - % - FS'!H7/100</f>
        <v>2.0219350000000001E-2</v>
      </c>
      <c r="G14" s="103">
        <f>'Historical Rev. - % - FS'!I7/100</f>
        <v>2.8467360000000001E-2</v>
      </c>
      <c r="H14" s="103">
        <f>'Historical Rev. - % - FS'!J7/100</f>
        <v>2.929141E-2</v>
      </c>
      <c r="I14" s="113">
        <f>'Historical Rev. - % - FS'!K7/100</f>
        <v>1.9420670000000001E-2</v>
      </c>
      <c r="J14" s="103">
        <f t="shared" ref="J14:N14" ca="1" si="11">J12/J8</f>
        <v>1.9420670971033546E-2</v>
      </c>
      <c r="K14" s="103">
        <f t="shared" ca="1" si="11"/>
        <v>1.942067097103355E-2</v>
      </c>
      <c r="L14" s="103">
        <f t="shared" ca="1" si="11"/>
        <v>1.942067097103355E-2</v>
      </c>
      <c r="M14" s="103">
        <f t="shared" ca="1" si="11"/>
        <v>1.8402603321356497E-2</v>
      </c>
      <c r="N14" s="104">
        <f t="shared" ca="1" si="11"/>
        <v>1.7427242029768562E-2</v>
      </c>
    </row>
    <row r="15" spans="2:17" x14ac:dyDescent="0.2">
      <c r="C15" s="97"/>
      <c r="F15" s="131"/>
      <c r="G15" s="131"/>
      <c r="H15" s="131"/>
      <c r="I15" s="431"/>
      <c r="N15" s="99"/>
      <c r="Q15" s="2"/>
    </row>
    <row r="16" spans="2:17" x14ac:dyDescent="0.2">
      <c r="C16" s="97" t="s">
        <v>57</v>
      </c>
      <c r="E16" s="127">
        <f>+E18*E8</f>
        <v>3167.4167663999997</v>
      </c>
      <c r="F16" s="127">
        <f t="shared" ref="F16:I16" si="12">+F18*F8</f>
        <v>4250.8508961100006</v>
      </c>
      <c r="G16" s="127">
        <f t="shared" si="12"/>
        <v>3269.3137172499996</v>
      </c>
      <c r="H16" s="127">
        <f t="shared" si="12"/>
        <v>2651.329428</v>
      </c>
      <c r="I16" s="430">
        <f t="shared" si="12"/>
        <v>3212.6187574300002</v>
      </c>
      <c r="J16" s="128">
        <f ca="1">I16*(1+J17)</f>
        <v>3256.6316344067914</v>
      </c>
      <c r="K16" s="128">
        <f t="shared" ref="K16:N16" ca="1" si="13">J16*(1+K17)</f>
        <v>3124.7380532133166</v>
      </c>
      <c r="L16" s="128">
        <f t="shared" ca="1" si="13"/>
        <v>3346.9069287967832</v>
      </c>
      <c r="M16" s="128">
        <f t="shared" ca="1" si="13"/>
        <v>3392.7595537212992</v>
      </c>
      <c r="N16" s="129">
        <f t="shared" ca="1" si="13"/>
        <v>3405.3127640700682</v>
      </c>
    </row>
    <row r="17" spans="3:20" x14ac:dyDescent="0.2">
      <c r="C17" s="363" t="s">
        <v>60</v>
      </c>
      <c r="D17" s="59"/>
      <c r="E17" s="127"/>
      <c r="F17" s="103">
        <f>F16/E16-1</f>
        <v>0.34205606954003809</v>
      </c>
      <c r="G17" s="103">
        <f>G16/F16-1</f>
        <v>-0.23090369501273644</v>
      </c>
      <c r="H17" s="103">
        <f t="shared" ref="H17" si="14">H16/G16-1</f>
        <v>-0.18902569245322232</v>
      </c>
      <c r="I17" s="113">
        <f t="shared" ref="I17" si="15">I16/H16-1</f>
        <v>0.21170108983907077</v>
      </c>
      <c r="J17" s="105">
        <f ca="1">Assumptions!I12</f>
        <v>1.37E-2</v>
      </c>
      <c r="K17" s="105">
        <f ca="1">Assumptions!J12</f>
        <v>-4.0500000000000001E-2</v>
      </c>
      <c r="L17" s="105">
        <f ca="1">Assumptions!K12</f>
        <v>7.1099999999999997E-2</v>
      </c>
      <c r="M17" s="105">
        <f ca="1">Assumptions!L12</f>
        <v>1.37E-2</v>
      </c>
      <c r="N17" s="130">
        <f ca="1">Assumptions!M12</f>
        <v>3.7000000000000002E-3</v>
      </c>
      <c r="P17" s="2"/>
    </row>
    <row r="18" spans="3:20" x14ac:dyDescent="0.2">
      <c r="C18" s="363" t="s">
        <v>59</v>
      </c>
      <c r="D18" s="59"/>
      <c r="E18" s="103">
        <f>+'Historical Rev. - % - FS'!G6/100</f>
        <v>0.26888087999999999</v>
      </c>
      <c r="F18" s="103">
        <f>+'Historical Rev. - % - FS'!H6/100</f>
        <v>0.31448183000000002</v>
      </c>
      <c r="G18" s="103">
        <f>+'Historical Rev. - % - FS'!I6/100</f>
        <v>0.31151154999999997</v>
      </c>
      <c r="H18" s="103">
        <f>+'Historical Rev. - % - FS'!J6/100</f>
        <v>0.28289900000000001</v>
      </c>
      <c r="I18" s="113">
        <f>+'Historical Rev. - % - FS'!K6/100</f>
        <v>0.25831139000000003</v>
      </c>
      <c r="J18" s="103">
        <f t="shared" ref="J18:N18" ca="1" si="16">J16/J8</f>
        <v>0.25831140291557014</v>
      </c>
      <c r="K18" s="103">
        <f t="shared" ca="1" si="16"/>
        <v>0.2583114029155702</v>
      </c>
      <c r="L18" s="103">
        <f t="shared" ca="1" si="16"/>
        <v>0.2583114029155702</v>
      </c>
      <c r="M18" s="103">
        <f t="shared" ca="1" si="16"/>
        <v>0.25859676038941681</v>
      </c>
      <c r="N18" s="104">
        <f t="shared" ca="1" si="16"/>
        <v>0.25886982667802488</v>
      </c>
    </row>
    <row r="19" spans="3:20" x14ac:dyDescent="0.2">
      <c r="C19" s="97"/>
      <c r="F19" s="131"/>
      <c r="G19" s="131"/>
      <c r="H19" s="131"/>
      <c r="I19" s="431"/>
      <c r="N19" s="99"/>
    </row>
    <row r="20" spans="3:20" x14ac:dyDescent="0.2">
      <c r="C20" s="97" t="s">
        <v>58</v>
      </c>
      <c r="E20" s="127">
        <f>+E22*E8</f>
        <v>8115.1789770000005</v>
      </c>
      <c r="F20" s="127">
        <f t="shared" ref="F20:I20" si="17">+F22*F8</f>
        <v>8904.0958533799985</v>
      </c>
      <c r="G20" s="127">
        <f t="shared" si="17"/>
        <v>6843.4282621000002</v>
      </c>
      <c r="H20" s="127">
        <f t="shared" si="17"/>
        <v>6423.9478036800001</v>
      </c>
      <c r="I20" s="430">
        <f t="shared" si="17"/>
        <v>8971.5877755299989</v>
      </c>
      <c r="J20" s="128">
        <f ca="1">I20*(1+J21)</f>
        <v>9094.4985280547608</v>
      </c>
      <c r="K20" s="128">
        <f t="shared" ref="K20:N20" ca="1" si="18">J20*(1+K21)</f>
        <v>8726.1713376685439</v>
      </c>
      <c r="L20" s="128">
        <f t="shared" ca="1" si="18"/>
        <v>9346.6021197767768</v>
      </c>
      <c r="M20" s="128">
        <f t="shared" ca="1" si="18"/>
        <v>9474.6505688177185</v>
      </c>
      <c r="N20" s="129">
        <f t="shared" ca="1" si="18"/>
        <v>9509.7067759223446</v>
      </c>
    </row>
    <row r="21" spans="3:20" x14ac:dyDescent="0.2">
      <c r="C21" s="363" t="s">
        <v>60</v>
      </c>
      <c r="D21" s="59"/>
      <c r="E21" s="103"/>
      <c r="F21" s="103">
        <f>F20/E20-1</f>
        <v>9.7214969456119515E-2</v>
      </c>
      <c r="G21" s="103">
        <f>G20/F20-1</f>
        <v>-0.23142917879727987</v>
      </c>
      <c r="H21" s="103">
        <f t="shared" ref="H21" si="19">H20/G20-1</f>
        <v>-6.1296829944598064E-2</v>
      </c>
      <c r="I21" s="113">
        <f t="shared" ref="I21" si="20">I20/H20-1</f>
        <v>0.39658478706669542</v>
      </c>
      <c r="J21" s="105">
        <f ca="1">Assumptions!I13</f>
        <v>1.37E-2</v>
      </c>
      <c r="K21" s="105">
        <f ca="1">Assumptions!J13</f>
        <v>-4.0500000000000001E-2</v>
      </c>
      <c r="L21" s="105">
        <f ca="1">Assumptions!K13</f>
        <v>7.1099999999999997E-2</v>
      </c>
      <c r="M21" s="105">
        <f ca="1">Assumptions!L13</f>
        <v>1.37E-2</v>
      </c>
      <c r="N21" s="130">
        <f ca="1">Assumptions!M13</f>
        <v>3.7000000000000002E-3</v>
      </c>
    </row>
    <row r="22" spans="3:20" x14ac:dyDescent="0.2">
      <c r="C22" s="363" t="s">
        <v>59</v>
      </c>
      <c r="D22" s="59"/>
      <c r="E22" s="103">
        <f>+'Historical Rev. - % - FS'!G5/100</f>
        <v>0.68889465000000005</v>
      </c>
      <c r="F22" s="103">
        <f>+'Historical Rev. - % - FS'!H5/100</f>
        <v>0.65873313999999994</v>
      </c>
      <c r="G22" s="103">
        <f>+'Historical Rev. - % - FS'!I5/100</f>
        <v>0.65206558000000003</v>
      </c>
      <c r="H22" s="103">
        <f>+'Historical Rev. - % - FS'!J5/100</f>
        <v>0.68544044000000004</v>
      </c>
      <c r="I22" s="113">
        <f>+'Historical Rev. - % - FS'!K5/100</f>
        <v>0.72136268999999997</v>
      </c>
      <c r="J22" s="103">
        <f ca="1">J20/J8</f>
        <v>0.72136272606813623</v>
      </c>
      <c r="K22" s="103">
        <f t="shared" ref="K22:N22" ca="1" si="21">K20/K8</f>
        <v>0.72136272606813634</v>
      </c>
      <c r="L22" s="103">
        <f t="shared" ca="1" si="21"/>
        <v>0.72136272606813634</v>
      </c>
      <c r="M22" s="103">
        <f t="shared" ca="1" si="21"/>
        <v>0.72215961789294358</v>
      </c>
      <c r="N22" s="104">
        <f t="shared" ca="1" si="21"/>
        <v>0.72292218524430452</v>
      </c>
      <c r="T22" s="2"/>
    </row>
    <row r="23" spans="3:20" x14ac:dyDescent="0.2">
      <c r="C23" s="124"/>
      <c r="D23" s="59"/>
      <c r="E23" s="103"/>
      <c r="F23" s="103"/>
      <c r="G23" s="103"/>
      <c r="H23" s="103"/>
      <c r="I23" s="113"/>
      <c r="J23" s="103"/>
      <c r="K23" s="103"/>
      <c r="L23" s="103"/>
      <c r="M23" s="103"/>
      <c r="N23" s="104"/>
      <c r="T23" s="2"/>
    </row>
    <row r="24" spans="3:20" x14ac:dyDescent="0.2">
      <c r="C24" s="97" t="s">
        <v>285</v>
      </c>
      <c r="E24" s="127">
        <f>+E26*E8</f>
        <v>160.74669940000001</v>
      </c>
      <c r="F24" s="127">
        <f t="shared" ref="F24:I24" si="22">+F26*F8</f>
        <v>88.748431729999993</v>
      </c>
      <c r="G24" s="127">
        <f t="shared" si="22"/>
        <v>83.493287349999989</v>
      </c>
      <c r="H24" s="127">
        <f t="shared" si="22"/>
        <v>22.20376752</v>
      </c>
      <c r="I24" s="430">
        <f t="shared" si="22"/>
        <v>11.2579724</v>
      </c>
      <c r="J24" s="128">
        <f ca="1">I24*(1+J25)</f>
        <v>11.412206621880001</v>
      </c>
      <c r="K24" s="128">
        <f t="shared" ref="K24" ca="1" si="23">J24*(1+K25)</f>
        <v>10.950012253693862</v>
      </c>
      <c r="L24" s="128">
        <f t="shared" ref="L24" ca="1" si="24">K24*(1+L25)</f>
        <v>11.728558124931494</v>
      </c>
      <c r="M24" s="128">
        <f t="shared" ref="M24" ca="1" si="25">L24*(1+M25)</f>
        <v>11.034063978789842</v>
      </c>
      <c r="N24" s="129">
        <f t="shared" ref="N24" ca="1" si="26">M24*(1+N25)</f>
        <v>10.270352928095891</v>
      </c>
    </row>
    <row r="25" spans="3:20" x14ac:dyDescent="0.2">
      <c r="C25" s="363" t="s">
        <v>60</v>
      </c>
      <c r="D25" s="59"/>
      <c r="E25" s="103"/>
      <c r="F25" s="103">
        <f>F24/E24-1</f>
        <v>-0.4478988865011807</v>
      </c>
      <c r="G25" s="103">
        <f>G24/F24-1</f>
        <v>-5.9213940771232654E-2</v>
      </c>
      <c r="H25" s="103">
        <f t="shared" ref="H25" si="27">H24/G24-1</f>
        <v>-0.73406523776069765</v>
      </c>
      <c r="I25" s="113">
        <f t="shared" ref="I25" si="28">I24/H24-1</f>
        <v>-0.49297017319878689</v>
      </c>
      <c r="J25" s="105">
        <f ca="1">+Assumptions!I14</f>
        <v>1.37E-2</v>
      </c>
      <c r="K25" s="105">
        <f ca="1">+Assumptions!J14</f>
        <v>-4.0500000000000001E-2</v>
      </c>
      <c r="L25" s="105">
        <f ca="1">+Assumptions!K14</f>
        <v>7.1099999999999997E-2</v>
      </c>
      <c r="M25" s="105">
        <f ca="1">+Assumptions!L14</f>
        <v>-5.9213940771232654E-2</v>
      </c>
      <c r="N25" s="130">
        <f ca="1">+Assumptions!M14</f>
        <v>-6.9213940771232649E-2</v>
      </c>
    </row>
    <row r="26" spans="3:20" ht="17" thickBot="1" x14ac:dyDescent="0.25">
      <c r="C26" s="364" t="s">
        <v>59</v>
      </c>
      <c r="D26" s="61"/>
      <c r="E26" s="116">
        <f>+'Historical Rev. - % - FS'!G8/100</f>
        <v>1.364573E-2</v>
      </c>
      <c r="F26" s="116">
        <f>+'Historical Rev. - % - FS'!H8/100</f>
        <v>6.5656899999999999E-3</v>
      </c>
      <c r="G26" s="116">
        <f>+'Historical Rev. - % - FS'!I8/100</f>
        <v>7.9555299999999989E-3</v>
      </c>
      <c r="H26" s="116">
        <f>+'Historical Rev. - % - FS'!J8/100</f>
        <v>2.3691599999999999E-3</v>
      </c>
      <c r="I26" s="432">
        <f>+'Historical Rev. - % - FS'!K8/100</f>
        <v>9.0519999999999999E-4</v>
      </c>
      <c r="J26" s="116">
        <f ca="1">J24/J8</f>
        <v>9.0520004526000223E-4</v>
      </c>
      <c r="K26" s="116">
        <f t="shared" ref="K26:N26" ca="1" si="29">K24/K8</f>
        <v>9.0520004526000234E-4</v>
      </c>
      <c r="L26" s="116">
        <f t="shared" ca="1" si="29"/>
        <v>9.0520004526000234E-4</v>
      </c>
      <c r="M26" s="116">
        <f t="shared" ca="1" si="29"/>
        <v>8.4101839628302887E-4</v>
      </c>
      <c r="N26" s="117">
        <f t="shared" ca="1" si="29"/>
        <v>7.8074604790211372E-4</v>
      </c>
    </row>
    <row r="27" spans="3:20" x14ac:dyDescent="0.2">
      <c r="E27" s="103"/>
      <c r="J27" s="103"/>
      <c r="K27" s="103"/>
      <c r="L27" s="103"/>
      <c r="M27" s="103"/>
      <c r="N27" s="103"/>
    </row>
    <row r="28" spans="3:20" x14ac:dyDescent="0.2">
      <c r="E28" s="103"/>
    </row>
    <row r="29" spans="3:20" x14ac:dyDescent="0.2">
      <c r="E29" s="103"/>
    </row>
  </sheetData>
  <pageMargins left="0.7" right="0.7" top="0.75" bottom="0.75" header="0.3" footer="0.3"/>
  <pageSetup orientation="portrait" horizontalDpi="0" verticalDpi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3186-00F0-6344-9F25-D40B4599C5FD}">
  <dimension ref="A2:AF183"/>
  <sheetViews>
    <sheetView showGridLines="0" zoomScaleNormal="130" workbookViewId="0">
      <selection activeCell="I1" sqref="I1"/>
    </sheetView>
  </sheetViews>
  <sheetFormatPr baseColWidth="10" defaultColWidth="11" defaultRowHeight="16" x14ac:dyDescent="0.2"/>
  <cols>
    <col min="1" max="2" width="1.83203125" style="57" customWidth="1"/>
    <col min="3" max="3" width="50.6640625" style="57" customWidth="1"/>
    <col min="4" max="4" width="10.83203125" style="57" customWidth="1"/>
    <col min="5" max="13" width="10.83203125" style="57"/>
    <col min="14" max="14" width="10.6640625" style="57" customWidth="1"/>
    <col min="15" max="32" width="11" style="57"/>
  </cols>
  <sheetData>
    <row r="2" spans="2:13" x14ac:dyDescent="0.2">
      <c r="B2" s="57" t="s">
        <v>0</v>
      </c>
      <c r="C2" s="58" t="s">
        <v>262</v>
      </c>
      <c r="D2" s="59"/>
    </row>
    <row r="3" spans="2:13" ht="17" thickBot="1" x14ac:dyDescent="0.25">
      <c r="C3" s="60" t="s">
        <v>77</v>
      </c>
      <c r="D3" s="61"/>
      <c r="E3" s="62"/>
      <c r="F3" s="62"/>
      <c r="G3" s="62"/>
      <c r="H3" s="62"/>
      <c r="I3" s="62"/>
      <c r="J3" s="62"/>
      <c r="K3" s="62"/>
      <c r="L3" s="62"/>
      <c r="M3" s="62"/>
    </row>
    <row r="4" spans="2:13" x14ac:dyDescent="0.2">
      <c r="C4" s="63" t="s">
        <v>431</v>
      </c>
      <c r="D4" s="59"/>
    </row>
    <row r="6" spans="2:13" x14ac:dyDescent="0.2">
      <c r="C6" s="133" t="s">
        <v>1</v>
      </c>
      <c r="D6" s="134" t="s">
        <v>6</v>
      </c>
    </row>
    <row r="7" spans="2:13" x14ac:dyDescent="0.2">
      <c r="C7" s="133" t="s">
        <v>2</v>
      </c>
      <c r="D7" s="135" t="s">
        <v>7</v>
      </c>
      <c r="E7" s="136"/>
    </row>
    <row r="8" spans="2:13" x14ac:dyDescent="0.2">
      <c r="C8" s="57" t="s">
        <v>3</v>
      </c>
      <c r="D8" s="137">
        <v>41.41</v>
      </c>
    </row>
    <row r="9" spans="2:13" x14ac:dyDescent="0.2">
      <c r="C9" s="57" t="s">
        <v>4</v>
      </c>
      <c r="D9" s="138">
        <v>44861</v>
      </c>
    </row>
    <row r="10" spans="2:13" x14ac:dyDescent="0.2">
      <c r="C10" s="133" t="s">
        <v>5</v>
      </c>
      <c r="D10" s="138">
        <v>44561</v>
      </c>
    </row>
    <row r="11" spans="2:13" x14ac:dyDescent="0.2">
      <c r="C11" s="57" t="s">
        <v>430</v>
      </c>
      <c r="D11" s="139">
        <f>176937165/1000000</f>
        <v>176.93716499999999</v>
      </c>
      <c r="E11" s="140"/>
    </row>
    <row r="13" spans="2:13" ht="17" thickBot="1" x14ac:dyDescent="0.25">
      <c r="B13" s="57" t="s">
        <v>0</v>
      </c>
      <c r="C13" s="62" t="s">
        <v>44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2:13" ht="17" thickBot="1" x14ac:dyDescent="0.25"/>
    <row r="15" spans="2:13" x14ac:dyDescent="0.2">
      <c r="C15" s="65" t="s">
        <v>9</v>
      </c>
      <c r="D15" s="66"/>
      <c r="E15" s="66"/>
      <c r="F15" s="66"/>
      <c r="G15" s="66"/>
      <c r="H15" s="67"/>
      <c r="I15" s="68">
        <f>I25</f>
        <v>2022</v>
      </c>
      <c r="J15" s="68">
        <f t="shared" ref="J15" si="0">I15+1</f>
        <v>2023</v>
      </c>
      <c r="K15" s="68">
        <f t="shared" ref="K15" si="1">J15+1</f>
        <v>2024</v>
      </c>
      <c r="L15" s="68">
        <f t="shared" ref="L15" si="2">K15+1</f>
        <v>2025</v>
      </c>
      <c r="M15" s="69">
        <f t="shared" ref="M15" si="3">L15+1</f>
        <v>2026</v>
      </c>
    </row>
    <row r="16" spans="2:13" x14ac:dyDescent="0.2">
      <c r="C16" s="70" t="s">
        <v>8</v>
      </c>
      <c r="D16" s="71"/>
      <c r="E16" s="71"/>
      <c r="F16" s="71"/>
      <c r="G16" s="71"/>
      <c r="H16" s="72"/>
      <c r="I16" s="71">
        <f>I26</f>
        <v>44926</v>
      </c>
      <c r="J16" s="71">
        <f t="shared" ref="J16" si="4">EOMONTH(I16,12)</f>
        <v>45291</v>
      </c>
      <c r="K16" s="71">
        <f t="shared" ref="K16" si="5">EOMONTH(J16,12)</f>
        <v>45657</v>
      </c>
      <c r="L16" s="71">
        <f t="shared" ref="L16" si="6">EOMONTH(K16,12)</f>
        <v>46022</v>
      </c>
      <c r="M16" s="73">
        <f t="shared" ref="M16" si="7">EOMONTH(L16,12)</f>
        <v>46387</v>
      </c>
    </row>
    <row r="17" spans="2:20" x14ac:dyDescent="0.2">
      <c r="C17" s="100" t="s">
        <v>62</v>
      </c>
      <c r="H17" s="98"/>
      <c r="I17" s="105">
        <f ca="1">'Revenue Build'!J9</f>
        <v>1.3699949315000071E-2</v>
      </c>
      <c r="J17" s="105">
        <f ca="1">'Revenue Build'!K9</f>
        <v>-4.0500000000000091E-2</v>
      </c>
      <c r="K17" s="105">
        <f ca="1">'Revenue Build'!L9</f>
        <v>7.1099999999999941E-2</v>
      </c>
      <c r="L17" s="105">
        <f ca="1">'Revenue Build'!M9</f>
        <v>1.2581397930883975E-2</v>
      </c>
      <c r="M17" s="130">
        <f ca="1">'Revenue Build'!N9</f>
        <v>2.6412569344482772E-3</v>
      </c>
    </row>
    <row r="18" spans="2:20" x14ac:dyDescent="0.2">
      <c r="C18" s="100" t="s">
        <v>49</v>
      </c>
      <c r="H18" s="98"/>
      <c r="I18" s="105">
        <f ca="1">Assumptions!I15</f>
        <v>0.15555221082435947</v>
      </c>
      <c r="J18" s="105">
        <f ca="1">Assumptions!J15</f>
        <v>0.15555221082435947</v>
      </c>
      <c r="K18" s="105">
        <f ca="1">Assumptions!K15</f>
        <v>0.15555221082435947</v>
      </c>
      <c r="L18" s="105">
        <f ca="1">Assumptions!L15</f>
        <v>0.15555221082435947</v>
      </c>
      <c r="M18" s="130">
        <f ca="1">Assumptions!M15</f>
        <v>0.15555221082435947</v>
      </c>
      <c r="R18" s="111"/>
      <c r="S18" s="111"/>
      <c r="T18" s="111"/>
    </row>
    <row r="19" spans="2:20" ht="15" customHeight="1" x14ac:dyDescent="0.2">
      <c r="C19" s="100" t="s">
        <v>50</v>
      </c>
      <c r="H19" s="98"/>
      <c r="I19" s="105">
        <f ca="1">Assumptions!I16</f>
        <v>2.1805618956939072E-2</v>
      </c>
      <c r="J19" s="105">
        <f ca="1">Assumptions!J16</f>
        <v>2.1805618956939072E-2</v>
      </c>
      <c r="K19" s="105">
        <f ca="1">Assumptions!K16</f>
        <v>2.1805618956939072E-2</v>
      </c>
      <c r="L19" s="105">
        <f ca="1">Assumptions!L16</f>
        <v>2.1805618956939072E-2</v>
      </c>
      <c r="M19" s="130">
        <f ca="1">Assumptions!M16</f>
        <v>2.1805618956939072E-2</v>
      </c>
    </row>
    <row r="20" spans="2:20" x14ac:dyDescent="0.2">
      <c r="C20" s="100" t="s">
        <v>51</v>
      </c>
      <c r="H20" s="98"/>
      <c r="I20" s="105">
        <f ca="1">Assumptions!I17</f>
        <v>2.5912029892330795E-3</v>
      </c>
      <c r="J20" s="105">
        <f ca="1">Assumptions!J17</f>
        <v>2.5912029892330795E-3</v>
      </c>
      <c r="K20" s="105">
        <f ca="1">Assumptions!K17</f>
        <v>2.5912029892330795E-3</v>
      </c>
      <c r="L20" s="105">
        <f ca="1">Assumptions!L17</f>
        <v>2.5912029892330795E-3</v>
      </c>
      <c r="M20" s="130">
        <f ca="1">Assumptions!M17</f>
        <v>2.5912029892330795E-3</v>
      </c>
    </row>
    <row r="21" spans="2:20" ht="17" thickBot="1" x14ac:dyDescent="0.25">
      <c r="C21" s="141" t="s">
        <v>55</v>
      </c>
      <c r="D21" s="62"/>
      <c r="E21" s="62"/>
      <c r="F21" s="62"/>
      <c r="G21" s="62"/>
      <c r="H21" s="115"/>
      <c r="I21" s="142">
        <f ca="1">Assumptions!I18</f>
        <v>0.32523786155716372</v>
      </c>
      <c r="J21" s="142">
        <f ca="1">Assumptions!J18</f>
        <v>0.32523786155716372</v>
      </c>
      <c r="K21" s="142">
        <f ca="1">Assumptions!K18</f>
        <v>0.32523786155716372</v>
      </c>
      <c r="L21" s="142">
        <f ca="1">Assumptions!L18</f>
        <v>0.32523786155716372</v>
      </c>
      <c r="M21" s="143">
        <f ca="1">Assumptions!M18</f>
        <v>0.32523786155716372</v>
      </c>
    </row>
    <row r="23" spans="2:20" ht="17" thickBot="1" x14ac:dyDescent="0.25">
      <c r="B23" s="57" t="s">
        <v>0</v>
      </c>
      <c r="C23" s="62" t="s">
        <v>267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2:20" ht="17" thickBot="1" x14ac:dyDescent="0.25"/>
    <row r="25" spans="2:20" x14ac:dyDescent="0.2">
      <c r="C25" s="65" t="s">
        <v>9</v>
      </c>
      <c r="D25" s="66">
        <f>E25-1</f>
        <v>2017</v>
      </c>
      <c r="E25" s="66">
        <f>F25-1</f>
        <v>2018</v>
      </c>
      <c r="F25" s="66">
        <f>G25-1</f>
        <v>2019</v>
      </c>
      <c r="G25" s="66">
        <f>H25-1</f>
        <v>2020</v>
      </c>
      <c r="H25" s="66">
        <v>2021</v>
      </c>
      <c r="I25" s="68">
        <f>H25+1</f>
        <v>2022</v>
      </c>
      <c r="J25" s="68">
        <f t="shared" ref="J25:M25" si="8">I25+1</f>
        <v>2023</v>
      </c>
      <c r="K25" s="68">
        <f t="shared" si="8"/>
        <v>2024</v>
      </c>
      <c r="L25" s="68">
        <f t="shared" si="8"/>
        <v>2025</v>
      </c>
      <c r="M25" s="69">
        <f t="shared" si="8"/>
        <v>2026</v>
      </c>
    </row>
    <row r="26" spans="2:20" ht="17" thickBot="1" x14ac:dyDescent="0.25">
      <c r="C26" s="70" t="s">
        <v>8</v>
      </c>
      <c r="D26" s="71">
        <f>EOMONTH(E26,-12)</f>
        <v>43100</v>
      </c>
      <c r="E26" s="71">
        <f>EOMONTH(F26,-12)</f>
        <v>43465</v>
      </c>
      <c r="F26" s="71">
        <f>EOMONTH(G26,-12)</f>
        <v>43830</v>
      </c>
      <c r="G26" s="71">
        <f>EOMONTH(H26,-12)</f>
        <v>44196</v>
      </c>
      <c r="H26" s="71">
        <f>D10</f>
        <v>44561</v>
      </c>
      <c r="I26" s="71">
        <f>EOMONTH(H26,12)</f>
        <v>44926</v>
      </c>
      <c r="J26" s="71">
        <f t="shared" ref="J26:M26" si="9">EOMONTH(I26,12)</f>
        <v>45291</v>
      </c>
      <c r="K26" s="71">
        <f t="shared" si="9"/>
        <v>45657</v>
      </c>
      <c r="L26" s="71">
        <f t="shared" si="9"/>
        <v>46022</v>
      </c>
      <c r="M26" s="73">
        <f t="shared" si="9"/>
        <v>46387</v>
      </c>
    </row>
    <row r="27" spans="2:20" x14ac:dyDescent="0.2">
      <c r="C27" s="74" t="s">
        <v>10</v>
      </c>
      <c r="D27" s="121">
        <f>'IS - FS'!B11</f>
        <v>11780</v>
      </c>
      <c r="E27" s="121">
        <f>'IS - FS'!C11</f>
        <v>13517</v>
      </c>
      <c r="F27" s="121">
        <f>'IS - FS'!D11</f>
        <v>10495</v>
      </c>
      <c r="G27" s="121">
        <f>'IS - FS'!E11</f>
        <v>9372</v>
      </c>
      <c r="H27" s="144">
        <f>'IS - FS'!F11</f>
        <v>12437</v>
      </c>
      <c r="I27" s="145">
        <f ca="1">H27*(1+I17)</f>
        <v>12607.386269630655</v>
      </c>
      <c r="J27" s="145">
        <f ca="1">I27*(1+J17)</f>
        <v>12096.787125710613</v>
      </c>
      <c r="K27" s="145">
        <f ca="1">J27*(1+K17)</f>
        <v>12956.868690348636</v>
      </c>
      <c r="L27" s="145">
        <f ca="1">K27*(1+L17)</f>
        <v>13119.884211280123</v>
      </c>
      <c r="M27" s="146">
        <f ca="1">L27*(1+M17)</f>
        <v>13154.537196432326</v>
      </c>
    </row>
    <row r="28" spans="2:20" x14ac:dyDescent="0.2">
      <c r="C28" s="147" t="s">
        <v>11</v>
      </c>
      <c r="D28" s="148">
        <f>-'IS - FS'!B12</f>
        <v>-9760</v>
      </c>
      <c r="E28" s="148">
        <f>-'IS - FS'!C12</f>
        <v>-10823</v>
      </c>
      <c r="F28" s="148">
        <f>-'IS - FS'!D12</f>
        <v>-9293</v>
      </c>
      <c r="G28" s="148">
        <f>-'IS - FS'!E12</f>
        <v>-8607</v>
      </c>
      <c r="H28" s="149">
        <f>-'IS - FS'!F12</f>
        <v>-9815</v>
      </c>
      <c r="I28" s="150">
        <f ca="1">I29-I27</f>
        <v>-10646.279462672932</v>
      </c>
      <c r="J28" s="150">
        <f t="shared" ref="J28:M28" ca="1" si="10">J29-J27</f>
        <v>-10215.105144434678</v>
      </c>
      <c r="K28" s="150">
        <f t="shared" ca="1" si="10"/>
        <v>-10941.399120203983</v>
      </c>
      <c r="L28" s="150">
        <f t="shared" ca="1" si="10"/>
        <v>-11079.057216455893</v>
      </c>
      <c r="M28" s="151">
        <f t="shared" ca="1" si="10"/>
        <v>-11108.319853156007</v>
      </c>
      <c r="N28" s="128"/>
      <c r="O28" s="128"/>
      <c r="P28" s="128"/>
      <c r="Q28" s="128"/>
      <c r="R28" s="128"/>
      <c r="S28" s="128"/>
    </row>
    <row r="29" spans="2:20" x14ac:dyDescent="0.2">
      <c r="C29" s="100" t="s">
        <v>12</v>
      </c>
      <c r="D29" s="152">
        <f>D27+D28</f>
        <v>2020</v>
      </c>
      <c r="E29" s="152">
        <f t="shared" ref="E29:H29" si="11">E27+E28</f>
        <v>2694</v>
      </c>
      <c r="F29" s="152">
        <f t="shared" si="11"/>
        <v>1202</v>
      </c>
      <c r="G29" s="152">
        <f t="shared" si="11"/>
        <v>765</v>
      </c>
      <c r="H29" s="153">
        <f t="shared" si="11"/>
        <v>2622</v>
      </c>
      <c r="I29" s="152">
        <f ca="1">I18*I27</f>
        <v>1961.1068069577225</v>
      </c>
      <c r="J29" s="152">
        <f ca="1">J18*J27</f>
        <v>1881.6819812759345</v>
      </c>
      <c r="K29" s="152">
        <f ca="1">K18*K27</f>
        <v>2015.4695701446533</v>
      </c>
      <c r="L29" s="152">
        <f ca="1">L18*L27</f>
        <v>2040.8269948242307</v>
      </c>
      <c r="M29" s="154">
        <f ca="1">M18*M27</f>
        <v>2046.2173432763198</v>
      </c>
    </row>
    <row r="30" spans="2:20" x14ac:dyDescent="0.2">
      <c r="C30" s="97" t="s">
        <v>20</v>
      </c>
      <c r="D30" s="155">
        <f>-'IS - FS'!B20</f>
        <v>-280</v>
      </c>
      <c r="E30" s="155">
        <f>-'IS - FS'!C20</f>
        <v>-248</v>
      </c>
      <c r="F30" s="155">
        <f>-'IS - FS'!D20</f>
        <v>-280</v>
      </c>
      <c r="G30" s="155">
        <f>-'IS - FS'!E20</f>
        <v>-206</v>
      </c>
      <c r="H30" s="156">
        <f>-'IS - FS'!F20</f>
        <v>-227</v>
      </c>
      <c r="I30" s="128">
        <f ca="1">-I19*I27</f>
        <v>-274.91186103851157</v>
      </c>
      <c r="J30" s="128">
        <f ca="1">-J19*J27</f>
        <v>-263.77793066645182</v>
      </c>
      <c r="K30" s="128">
        <f ca="1">-K19*K27</f>
        <v>-282.53254153683656</v>
      </c>
      <c r="L30" s="128">
        <f ca="1">-L19*L27</f>
        <v>-286.08719587033545</v>
      </c>
      <c r="M30" s="129">
        <f ca="1">-M19*M27</f>
        <v>-286.84282566028486</v>
      </c>
      <c r="O30" s="128"/>
      <c r="P30" s="128"/>
      <c r="Q30" s="128"/>
      <c r="R30" s="128"/>
      <c r="S30" s="128"/>
    </row>
    <row r="31" spans="2:20" x14ac:dyDescent="0.2">
      <c r="C31" s="147" t="s">
        <v>21</v>
      </c>
      <c r="D31" s="148">
        <f>-'IS - FS'!B19</f>
        <v>-32</v>
      </c>
      <c r="E31" s="148">
        <f>-'IS - FS'!C19</f>
        <v>-31</v>
      </c>
      <c r="F31" s="148">
        <f>-'IS - FS'!D19</f>
        <v>-27</v>
      </c>
      <c r="G31" s="148">
        <f>-'IS - FS'!E19</f>
        <v>-27</v>
      </c>
      <c r="H31" s="149">
        <f>-'IS - FS'!F19</f>
        <v>-31</v>
      </c>
      <c r="I31" s="150">
        <f ca="1">-I20*I27</f>
        <v>-32.668296988283039</v>
      </c>
      <c r="J31" s="150">
        <f ca="1">-J20*J27</f>
        <v>-31.34523096025757</v>
      </c>
      <c r="K31" s="150">
        <f ca="1">-K20*K27</f>
        <v>-33.573876881531881</v>
      </c>
      <c r="L31" s="150">
        <f ca="1">-L20*L27</f>
        <v>-33.996283186660939</v>
      </c>
      <c r="M31" s="151">
        <f ca="1">-M20*M27</f>
        <v>-34.086076105373174</v>
      </c>
      <c r="O31" s="128"/>
      <c r="P31" s="128"/>
      <c r="Q31" s="128"/>
      <c r="R31" s="128"/>
      <c r="S31" s="128"/>
    </row>
    <row r="32" spans="2:20" x14ac:dyDescent="0.2">
      <c r="C32" s="100" t="s">
        <v>13</v>
      </c>
      <c r="D32" s="152">
        <f t="shared" ref="D32:M32" si="12">SUM(D29:D31)</f>
        <v>1708</v>
      </c>
      <c r="E32" s="152">
        <f t="shared" si="12"/>
        <v>2415</v>
      </c>
      <c r="F32" s="152">
        <f t="shared" si="12"/>
        <v>895</v>
      </c>
      <c r="G32" s="152">
        <f t="shared" si="12"/>
        <v>532</v>
      </c>
      <c r="H32" s="153">
        <f t="shared" si="12"/>
        <v>2364</v>
      </c>
      <c r="I32" s="152">
        <f ca="1">SUM(I29:I31)</f>
        <v>1653.5266489309279</v>
      </c>
      <c r="J32" s="152">
        <f t="shared" ca="1" si="12"/>
        <v>1586.5588196492251</v>
      </c>
      <c r="K32" s="152">
        <f t="shared" ca="1" si="12"/>
        <v>1699.3631517262847</v>
      </c>
      <c r="L32" s="152">
        <f t="shared" ca="1" si="12"/>
        <v>1720.7435157672344</v>
      </c>
      <c r="M32" s="154">
        <f t="shared" ca="1" si="12"/>
        <v>1725.2884415106616</v>
      </c>
      <c r="O32" s="128"/>
      <c r="P32" s="128"/>
      <c r="Q32" s="128"/>
      <c r="R32" s="128"/>
      <c r="S32" s="128"/>
    </row>
    <row r="33" spans="1:32" x14ac:dyDescent="0.2">
      <c r="C33" s="97" t="s">
        <v>22</v>
      </c>
      <c r="D33" s="155">
        <f>-'IS - FS'!B26</f>
        <v>-104</v>
      </c>
      <c r="E33" s="155">
        <f>-'IS - FS'!C26</f>
        <v>-122</v>
      </c>
      <c r="F33" s="155">
        <f>-'IS - FS'!D26</f>
        <v>-121</v>
      </c>
      <c r="G33" s="155">
        <f>-'IS - FS'!E26</f>
        <v>-146</v>
      </c>
      <c r="H33" s="156">
        <f>-'IS - FS'!F26</f>
        <v>-195</v>
      </c>
      <c r="I33" s="128">
        <f>MEDIAN(D33:H33)</f>
        <v>-122</v>
      </c>
      <c r="J33" s="128">
        <f>I33</f>
        <v>-122</v>
      </c>
      <c r="K33" s="128">
        <f t="shared" ref="K33:M33" si="13">J33</f>
        <v>-122</v>
      </c>
      <c r="L33" s="128">
        <f t="shared" si="13"/>
        <v>-122</v>
      </c>
      <c r="M33" s="129">
        <f t="shared" si="13"/>
        <v>-122</v>
      </c>
      <c r="O33" s="128"/>
      <c r="P33" s="128"/>
      <c r="Q33" s="128"/>
      <c r="R33" s="128"/>
      <c r="S33" s="128"/>
    </row>
    <row r="34" spans="1:32" x14ac:dyDescent="0.2">
      <c r="C34" s="147" t="s">
        <v>138</v>
      </c>
      <c r="D34" s="148">
        <f>-'IS - FS'!B29+'IS - FS'!B22</f>
        <v>-445</v>
      </c>
      <c r="E34" s="148">
        <f>-'IS - FS'!C29+'IS - FS'!C22</f>
        <v>-668</v>
      </c>
      <c r="F34" s="148">
        <f>-'IS - FS'!D29+'IS - FS'!D22</f>
        <v>-1212</v>
      </c>
      <c r="G34" s="148">
        <f>-'IS - FS'!E29+'IS - FS'!E22</f>
        <v>-213</v>
      </c>
      <c r="H34" s="149">
        <f>-'IS - FS'!F29+'IS - FS'!F22</f>
        <v>-970</v>
      </c>
      <c r="I34" s="150">
        <f>MEDIAN(D34:H34)</f>
        <v>-668</v>
      </c>
      <c r="J34" s="150">
        <f>I34</f>
        <v>-668</v>
      </c>
      <c r="K34" s="150">
        <f t="shared" ref="K34:M34" si="14">J34</f>
        <v>-668</v>
      </c>
      <c r="L34" s="150">
        <f t="shared" si="14"/>
        <v>-668</v>
      </c>
      <c r="M34" s="151">
        <f t="shared" si="14"/>
        <v>-668</v>
      </c>
      <c r="O34" s="128"/>
      <c r="P34" s="128"/>
      <c r="Q34" s="128"/>
      <c r="R34" s="128"/>
      <c r="S34" s="128"/>
    </row>
    <row r="35" spans="1:32" x14ac:dyDescent="0.2">
      <c r="C35" s="100" t="s">
        <v>14</v>
      </c>
      <c r="D35" s="152">
        <f>SUM(D32:D34)</f>
        <v>1159</v>
      </c>
      <c r="E35" s="152">
        <f t="shared" ref="E35:M35" si="15">SUM(E32:E34)</f>
        <v>1625</v>
      </c>
      <c r="F35" s="152">
        <f t="shared" si="15"/>
        <v>-438</v>
      </c>
      <c r="G35" s="152">
        <f t="shared" si="15"/>
        <v>173</v>
      </c>
      <c r="H35" s="153">
        <f t="shared" si="15"/>
        <v>1199</v>
      </c>
      <c r="I35" s="152">
        <f t="shared" ca="1" si="15"/>
        <v>863.52664893092788</v>
      </c>
      <c r="J35" s="152">
        <f t="shared" ca="1" si="15"/>
        <v>796.55881964922514</v>
      </c>
      <c r="K35" s="152">
        <f t="shared" ca="1" si="15"/>
        <v>909.36315172628474</v>
      </c>
      <c r="L35" s="152">
        <f t="shared" ca="1" si="15"/>
        <v>930.74351576723438</v>
      </c>
      <c r="M35" s="154">
        <f t="shared" ca="1" si="15"/>
        <v>935.28844151066164</v>
      </c>
      <c r="U35" s="157"/>
    </row>
    <row r="36" spans="1:32" x14ac:dyDescent="0.2">
      <c r="C36" s="97" t="s">
        <v>15</v>
      </c>
      <c r="D36" s="155">
        <f>-'IS - FS'!B40</f>
        <v>-600</v>
      </c>
      <c r="E36" s="155">
        <f>-'IS - FS'!C40</f>
        <v>-732</v>
      </c>
      <c r="F36" s="155">
        <f>-'IS - FS'!D40</f>
        <v>-415</v>
      </c>
      <c r="G36" s="155">
        <f>-'IS - FS'!E40</f>
        <v>-187</v>
      </c>
      <c r="H36" s="156">
        <f>-'IS - FS'!F40</f>
        <v>-629</v>
      </c>
      <c r="I36" s="128">
        <f ca="1">-I21*I35</f>
        <v>-280.85156069591864</v>
      </c>
      <c r="J36" s="128">
        <f ca="1">-J21*J35</f>
        <v>-259.07108710721241</v>
      </c>
      <c r="K36" s="128">
        <f ca="1">-K21*K35</f>
        <v>-295.75932684633949</v>
      </c>
      <c r="L36" s="128">
        <f ca="1">-L21*L35</f>
        <v>-302.71303072633162</v>
      </c>
      <c r="M36" s="129">
        <f ca="1">-M21*M35</f>
        <v>-304.19121265605997</v>
      </c>
      <c r="U36" s="158"/>
    </row>
    <row r="37" spans="1:32" x14ac:dyDescent="0.2">
      <c r="C37" s="100" t="s">
        <v>16</v>
      </c>
      <c r="D37" s="152">
        <f>D35+D36</f>
        <v>559</v>
      </c>
      <c r="E37" s="152">
        <f t="shared" ref="E37:M37" si="16">E35+E36</f>
        <v>893</v>
      </c>
      <c r="F37" s="152">
        <f t="shared" si="16"/>
        <v>-853</v>
      </c>
      <c r="G37" s="152">
        <f t="shared" si="16"/>
        <v>-14</v>
      </c>
      <c r="H37" s="153">
        <f t="shared" si="16"/>
        <v>570</v>
      </c>
      <c r="I37" s="152">
        <f ca="1">I35+I36</f>
        <v>582.6750882350093</v>
      </c>
      <c r="J37" s="152">
        <f t="shared" ca="1" si="16"/>
        <v>537.48773254201274</v>
      </c>
      <c r="K37" s="152">
        <f t="shared" ca="1" si="16"/>
        <v>613.60382487994525</v>
      </c>
      <c r="L37" s="152">
        <f t="shared" ca="1" si="16"/>
        <v>628.0304850409027</v>
      </c>
      <c r="M37" s="154">
        <f t="shared" ca="1" si="16"/>
        <v>631.09722885460167</v>
      </c>
    </row>
    <row r="38" spans="1:32" x14ac:dyDescent="0.2">
      <c r="C38" s="147" t="s">
        <v>23</v>
      </c>
      <c r="D38" s="148">
        <f>'IS - FS'!B46</f>
        <v>342</v>
      </c>
      <c r="E38" s="148">
        <f>'IS - FS'!C46</f>
        <v>643</v>
      </c>
      <c r="F38" s="148">
        <f>'IS - FS'!D46</f>
        <v>272</v>
      </c>
      <c r="G38" s="148">
        <f>'IS - FS'!E46</f>
        <v>156</v>
      </c>
      <c r="H38" s="149">
        <f>'IS - FS'!F46</f>
        <v>141</v>
      </c>
      <c r="I38" s="150">
        <f ca="1">($H$38/$H$37)*I37</f>
        <v>144.13541656339703</v>
      </c>
      <c r="J38" s="150">
        <f t="shared" ref="J38:M38" ca="1" si="17">($H$38/$H$37)*J37</f>
        <v>132.95749173407683</v>
      </c>
      <c r="K38" s="150">
        <f t="shared" ca="1" si="17"/>
        <v>151.78620931240749</v>
      </c>
      <c r="L38" s="150">
        <f t="shared" ca="1" si="17"/>
        <v>155.35490945748646</v>
      </c>
      <c r="M38" s="151">
        <f t="shared" ca="1" si="17"/>
        <v>156.11352503245408</v>
      </c>
    </row>
    <row r="39" spans="1:32" x14ac:dyDescent="0.2">
      <c r="C39" s="159" t="s">
        <v>186</v>
      </c>
      <c r="D39" s="160">
        <f>D37-D38</f>
        <v>217</v>
      </c>
      <c r="E39" s="160">
        <f t="shared" ref="E39:M39" si="18">E37-E38</f>
        <v>250</v>
      </c>
      <c r="F39" s="160">
        <f t="shared" si="18"/>
        <v>-1125</v>
      </c>
      <c r="G39" s="160">
        <f t="shared" si="18"/>
        <v>-170</v>
      </c>
      <c r="H39" s="161">
        <f t="shared" si="18"/>
        <v>429</v>
      </c>
      <c r="I39" s="160">
        <f t="shared" ca="1" si="18"/>
        <v>438.53967167161227</v>
      </c>
      <c r="J39" s="160">
        <f t="shared" ca="1" si="18"/>
        <v>404.53024080793591</v>
      </c>
      <c r="K39" s="160">
        <f t="shared" ca="1" si="18"/>
        <v>461.81761556753776</v>
      </c>
      <c r="L39" s="160">
        <f t="shared" ca="1" si="18"/>
        <v>472.67557558341628</v>
      </c>
      <c r="M39" s="162">
        <f t="shared" ca="1" si="18"/>
        <v>474.98370382214762</v>
      </c>
      <c r="N39" s="163"/>
      <c r="O39" s="163"/>
      <c r="P39" s="163"/>
      <c r="Q39" s="163"/>
      <c r="R39" s="163"/>
    </row>
    <row r="40" spans="1:32" x14ac:dyDescent="0.2">
      <c r="C40" s="97"/>
      <c r="H40" s="98"/>
      <c r="M40" s="99"/>
      <c r="N40" s="164"/>
      <c r="O40" s="164"/>
      <c r="P40" s="164"/>
      <c r="Q40" s="164"/>
      <c r="R40" s="164"/>
      <c r="S40" s="164"/>
    </row>
    <row r="41" spans="1:32" s="1" customFormat="1" x14ac:dyDescent="0.2">
      <c r="A41" s="58"/>
      <c r="B41" s="58"/>
      <c r="C41" s="97" t="s">
        <v>64</v>
      </c>
      <c r="D41" s="165">
        <f>'IS - FS'!B14</f>
        <v>750</v>
      </c>
      <c r="E41" s="165">
        <f>'IS - FS'!C14</f>
        <v>733</v>
      </c>
      <c r="F41" s="165">
        <f>'IS - FS'!D14</f>
        <v>713</v>
      </c>
      <c r="G41" s="165">
        <f>'IS - FS'!E14</f>
        <v>653</v>
      </c>
      <c r="H41" s="166">
        <f>'IS - FS'!F14</f>
        <v>664</v>
      </c>
      <c r="I41" s="128">
        <f ca="1">I130</f>
        <v>618.85696504766065</v>
      </c>
      <c r="J41" s="128">
        <f t="shared" ref="J41:M41" ca="1" si="19">J130</f>
        <v>585.36663296323047</v>
      </c>
      <c r="K41" s="128">
        <f t="shared" ca="1" si="19"/>
        <v>492.4425755669161</v>
      </c>
      <c r="L41" s="128">
        <f t="shared" ca="1" si="19"/>
        <v>498.63819156823286</v>
      </c>
      <c r="M41" s="129">
        <f t="shared" ca="1" si="19"/>
        <v>499.95522314949324</v>
      </c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</row>
    <row r="42" spans="1:32" x14ac:dyDescent="0.2">
      <c r="C42" s="100" t="s">
        <v>17</v>
      </c>
      <c r="D42" s="152">
        <f>D41+D32</f>
        <v>2458</v>
      </c>
      <c r="E42" s="152">
        <f t="shared" ref="E42:M42" si="20">E41+E32</f>
        <v>3148</v>
      </c>
      <c r="F42" s="152">
        <f t="shared" si="20"/>
        <v>1608</v>
      </c>
      <c r="G42" s="152">
        <f t="shared" si="20"/>
        <v>1185</v>
      </c>
      <c r="H42" s="153">
        <f t="shared" si="20"/>
        <v>3028</v>
      </c>
      <c r="I42" s="152">
        <f ca="1">I41+I32</f>
        <v>2272.3836139785885</v>
      </c>
      <c r="J42" s="152">
        <f t="shared" ca="1" si="20"/>
        <v>2171.9254526124555</v>
      </c>
      <c r="K42" s="152">
        <f t="shared" ca="1" si="20"/>
        <v>2191.805727293201</v>
      </c>
      <c r="L42" s="152">
        <f t="shared" ca="1" si="20"/>
        <v>2219.3817073354671</v>
      </c>
      <c r="M42" s="154">
        <f t="shared" ca="1" si="20"/>
        <v>2225.243664660155</v>
      </c>
    </row>
    <row r="43" spans="1:32" x14ac:dyDescent="0.2">
      <c r="C43" s="97" t="s">
        <v>18</v>
      </c>
      <c r="D43" s="140">
        <v>24</v>
      </c>
      <c r="E43" s="140">
        <v>35</v>
      </c>
      <c r="F43" s="140">
        <v>30</v>
      </c>
      <c r="G43" s="140">
        <v>25</v>
      </c>
      <c r="H43" s="167">
        <v>39</v>
      </c>
      <c r="I43" s="168">
        <f ca="1">($H$43/$H$27)*I27</f>
        <v>39.534298023285004</v>
      </c>
      <c r="J43" s="168">
        <f t="shared" ref="J43:M43" ca="1" si="21">($H$43/$H$27)*J27</f>
        <v>37.933158953341959</v>
      </c>
      <c r="K43" s="168">
        <f t="shared" ca="1" si="21"/>
        <v>40.630206554924563</v>
      </c>
      <c r="L43" s="168">
        <f t="shared" ca="1" si="21"/>
        <v>41.141391351606082</v>
      </c>
      <c r="M43" s="169">
        <f t="shared" ca="1" si="21"/>
        <v>41.25005633680636</v>
      </c>
      <c r="O43" s="168"/>
    </row>
    <row r="44" spans="1:32" ht="17" thickBot="1" x14ac:dyDescent="0.25">
      <c r="C44" s="141" t="s">
        <v>19</v>
      </c>
      <c r="D44" s="170">
        <f>D42+D43</f>
        <v>2482</v>
      </c>
      <c r="E44" s="170">
        <f t="shared" ref="E44:M44" si="22">E42+E43</f>
        <v>3183</v>
      </c>
      <c r="F44" s="170">
        <f t="shared" si="22"/>
        <v>1638</v>
      </c>
      <c r="G44" s="170">
        <f t="shared" si="22"/>
        <v>1210</v>
      </c>
      <c r="H44" s="171">
        <f t="shared" si="22"/>
        <v>3067</v>
      </c>
      <c r="I44" s="170">
        <f t="shared" ca="1" si="22"/>
        <v>2311.9179120018734</v>
      </c>
      <c r="J44" s="170">
        <f t="shared" ca="1" si="22"/>
        <v>2209.8586115657977</v>
      </c>
      <c r="K44" s="170">
        <f t="shared" ca="1" si="22"/>
        <v>2232.4359338481254</v>
      </c>
      <c r="L44" s="170">
        <f t="shared" ca="1" si="22"/>
        <v>2260.5230986870733</v>
      </c>
      <c r="M44" s="172">
        <f t="shared" ca="1" si="22"/>
        <v>2266.4937209969612</v>
      </c>
      <c r="O44" s="152"/>
      <c r="P44" s="158"/>
      <c r="Q44" s="158"/>
      <c r="R44" s="158"/>
      <c r="S44" s="158"/>
      <c r="T44" s="158"/>
    </row>
    <row r="45" spans="1:32" x14ac:dyDescent="0.2">
      <c r="O45" s="128"/>
    </row>
    <row r="46" spans="1:32" ht="17" thickBot="1" x14ac:dyDescent="0.25">
      <c r="B46" s="57" t="s">
        <v>0</v>
      </c>
      <c r="C46" s="62" t="s">
        <v>268</v>
      </c>
      <c r="D46" s="62"/>
      <c r="E46" s="173"/>
      <c r="F46" s="173"/>
      <c r="G46" s="173"/>
      <c r="H46" s="173"/>
      <c r="I46" s="173"/>
      <c r="J46" s="173"/>
      <c r="K46" s="173"/>
      <c r="L46" s="173"/>
      <c r="M46" s="173"/>
    </row>
    <row r="47" spans="1:32" ht="17" thickBot="1" x14ac:dyDescent="0.25">
      <c r="E47" s="174"/>
      <c r="F47" s="174"/>
      <c r="G47" s="174"/>
      <c r="H47" s="174"/>
      <c r="I47" s="174"/>
      <c r="J47" s="174"/>
      <c r="K47" s="174"/>
      <c r="L47" s="174"/>
      <c r="M47" s="174"/>
    </row>
    <row r="48" spans="1:32" x14ac:dyDescent="0.2">
      <c r="C48" s="65" t="str">
        <f t="shared" ref="C48:L48" si="23">C25</f>
        <v>Fiscal year</v>
      </c>
      <c r="D48" s="66">
        <f t="shared" si="23"/>
        <v>2017</v>
      </c>
      <c r="E48" s="66">
        <f t="shared" si="23"/>
        <v>2018</v>
      </c>
      <c r="F48" s="66">
        <f t="shared" si="23"/>
        <v>2019</v>
      </c>
      <c r="G48" s="66">
        <f t="shared" si="23"/>
        <v>2020</v>
      </c>
      <c r="H48" s="67">
        <f t="shared" si="23"/>
        <v>2021</v>
      </c>
      <c r="I48" s="68">
        <f t="shared" si="23"/>
        <v>2022</v>
      </c>
      <c r="J48" s="68">
        <f t="shared" si="23"/>
        <v>2023</v>
      </c>
      <c r="K48" s="68">
        <f t="shared" si="23"/>
        <v>2024</v>
      </c>
      <c r="L48" s="68">
        <f t="shared" si="23"/>
        <v>2025</v>
      </c>
      <c r="M48" s="69">
        <f t="shared" ref="M48" si="24">L48+1</f>
        <v>2026</v>
      </c>
    </row>
    <row r="49" spans="1:32" ht="17" thickBot="1" x14ac:dyDescent="0.25">
      <c r="C49" s="70" t="str">
        <f t="shared" ref="C49:L49" si="25">C26</f>
        <v>Fiscal year end date</v>
      </c>
      <c r="D49" s="71">
        <f t="shared" si="25"/>
        <v>43100</v>
      </c>
      <c r="E49" s="71">
        <f t="shared" si="25"/>
        <v>43465</v>
      </c>
      <c r="F49" s="71">
        <f t="shared" si="25"/>
        <v>43830</v>
      </c>
      <c r="G49" s="71">
        <f t="shared" si="25"/>
        <v>44196</v>
      </c>
      <c r="H49" s="72">
        <f t="shared" si="25"/>
        <v>44561</v>
      </c>
      <c r="I49" s="71">
        <f t="shared" si="25"/>
        <v>44926</v>
      </c>
      <c r="J49" s="71">
        <f t="shared" si="25"/>
        <v>45291</v>
      </c>
      <c r="K49" s="71">
        <f t="shared" si="25"/>
        <v>45657</v>
      </c>
      <c r="L49" s="71">
        <f t="shared" si="25"/>
        <v>46022</v>
      </c>
      <c r="M49" s="175">
        <f>M26</f>
        <v>46387</v>
      </c>
    </row>
    <row r="50" spans="1:32" x14ac:dyDescent="0.2">
      <c r="C50" s="176" t="s">
        <v>187</v>
      </c>
      <c r="D50" s="75"/>
      <c r="E50" s="75"/>
      <c r="F50" s="75"/>
      <c r="G50" s="75"/>
      <c r="H50" s="76"/>
      <c r="I50" s="75"/>
      <c r="J50" s="75"/>
      <c r="K50" s="75"/>
      <c r="L50" s="75"/>
      <c r="M50" s="77"/>
    </row>
    <row r="51" spans="1:32" x14ac:dyDescent="0.2">
      <c r="C51" s="101" t="s">
        <v>257</v>
      </c>
      <c r="D51" s="177">
        <f>'BS - FS'!B11</f>
        <v>1478</v>
      </c>
      <c r="E51" s="177">
        <f>'BS - FS'!C11</f>
        <v>1189</v>
      </c>
      <c r="F51" s="177">
        <f>'BS - FS'!D11</f>
        <v>942</v>
      </c>
      <c r="G51" s="177">
        <f>'BS - FS'!E11</f>
        <v>1631</v>
      </c>
      <c r="H51" s="178">
        <f>'BS - FS'!F11</f>
        <v>1938</v>
      </c>
      <c r="I51" s="128">
        <f ca="1">H51+I113</f>
        <v>2785.8124996758243</v>
      </c>
      <c r="J51" s="128">
        <f ca="1">I51+J113</f>
        <v>3289.9528187115911</v>
      </c>
      <c r="K51" s="128">
        <f ca="1">J51+K113</f>
        <v>3783.2037919546256</v>
      </c>
      <c r="L51" s="128">
        <f ca="1">K51+L113</f>
        <v>4298.9630397722885</v>
      </c>
      <c r="M51" s="129">
        <f ca="1">L51+M113</f>
        <v>4819.240671808936</v>
      </c>
    </row>
    <row r="52" spans="1:32" x14ac:dyDescent="0.2">
      <c r="C52" s="179" t="s">
        <v>72</v>
      </c>
      <c r="D52" s="177">
        <f>'BS - FS'!B14</f>
        <v>1043</v>
      </c>
      <c r="E52" s="177">
        <f>'BS - FS'!C14</f>
        <v>1003</v>
      </c>
      <c r="F52" s="177">
        <f>'BS - FS'!D14</f>
        <v>660</v>
      </c>
      <c r="G52" s="177">
        <f>'BS - FS'!E14</f>
        <v>556</v>
      </c>
      <c r="H52" s="178">
        <f>'BS - FS'!F14</f>
        <v>884</v>
      </c>
      <c r="I52" s="128">
        <f ca="1">I145</f>
        <v>896.1107551944599</v>
      </c>
      <c r="J52" s="128">
        <f ca="1">J145</f>
        <v>859.81826960908427</v>
      </c>
      <c r="K52" s="128">
        <f t="shared" ref="K52:M52" ca="1" si="26">K145</f>
        <v>920.95134857829009</v>
      </c>
      <c r="L52" s="128">
        <f t="shared" ca="1" si="26"/>
        <v>932.53820396973765</v>
      </c>
      <c r="M52" s="129">
        <f t="shared" ca="1" si="26"/>
        <v>935.00127696761081</v>
      </c>
      <c r="N52" s="128"/>
      <c r="O52" s="128"/>
      <c r="P52" s="128"/>
      <c r="Q52" s="128"/>
      <c r="R52" s="128"/>
    </row>
    <row r="53" spans="1:32" x14ac:dyDescent="0.2">
      <c r="C53" s="179" t="s">
        <v>24</v>
      </c>
      <c r="D53" s="177">
        <f>'BS - FS'!B19</f>
        <v>1453</v>
      </c>
      <c r="E53" s="177">
        <f>'BS - FS'!C19</f>
        <v>1819</v>
      </c>
      <c r="F53" s="177">
        <f>'BS - FS'!D19</f>
        <v>1644</v>
      </c>
      <c r="G53" s="177">
        <f>'BS - FS'!E19</f>
        <v>1398</v>
      </c>
      <c r="H53" s="178">
        <f>'BS - FS'!F19</f>
        <v>1956</v>
      </c>
      <c r="I53" s="128">
        <f ca="1">I147</f>
        <v>1789.2989321446978</v>
      </c>
      <c r="J53" s="128">
        <f t="shared" ref="J53:M53" ca="1" si="27">J147</f>
        <v>1716.8323253928374</v>
      </c>
      <c r="K53" s="128">
        <f t="shared" ca="1" si="27"/>
        <v>1838.8991037282681</v>
      </c>
      <c r="L53" s="128">
        <f t="shared" ca="1" si="27"/>
        <v>1862.0350251070192</v>
      </c>
      <c r="M53" s="129">
        <f t="shared" ca="1" si="27"/>
        <v>1866.9531380292688</v>
      </c>
      <c r="N53" s="128"/>
      <c r="O53" s="128"/>
      <c r="P53" s="128"/>
      <c r="Q53" s="128"/>
      <c r="R53" s="128"/>
    </row>
    <row r="54" spans="1:32" x14ac:dyDescent="0.2">
      <c r="C54" s="180" t="s">
        <v>25</v>
      </c>
      <c r="D54" s="181">
        <f>'BS - FS'!B24</f>
        <v>264</v>
      </c>
      <c r="E54" s="181">
        <f>'BS - FS'!C24</f>
        <v>317</v>
      </c>
      <c r="F54" s="181">
        <f>'BS - FS'!D24</f>
        <v>284</v>
      </c>
      <c r="G54" s="181">
        <f>'BS - FS'!E24</f>
        <v>935</v>
      </c>
      <c r="H54" s="182">
        <f>'BS - FS'!F24</f>
        <v>248</v>
      </c>
      <c r="I54" s="150">
        <f ca="1">H54*(1+I17)</f>
        <v>251.39758743012001</v>
      </c>
      <c r="J54" s="150">
        <f t="shared" ref="J54:M54" ca="1" si="28">I54*(1+J17)</f>
        <v>241.21598513920014</v>
      </c>
      <c r="K54" s="150">
        <f t="shared" ca="1" si="28"/>
        <v>258.36644168259727</v>
      </c>
      <c r="L54" s="150">
        <f t="shared" ca="1" si="28"/>
        <v>261.61705269739258</v>
      </c>
      <c r="M54" s="151">
        <f t="shared" ca="1" si="28"/>
        <v>262.30805055199949</v>
      </c>
      <c r="N54" s="128"/>
      <c r="O54" s="128"/>
      <c r="P54" s="128"/>
      <c r="Q54" s="128"/>
      <c r="R54" s="128"/>
    </row>
    <row r="55" spans="1:32" x14ac:dyDescent="0.2">
      <c r="C55" s="183" t="s">
        <v>31</v>
      </c>
      <c r="D55" s="184">
        <f>SUM(D51:D54)</f>
        <v>4238</v>
      </c>
      <c r="E55" s="184">
        <f t="shared" ref="E55:H55" si="29">SUM(E51:E54)</f>
        <v>4328</v>
      </c>
      <c r="F55" s="184">
        <f t="shared" si="29"/>
        <v>3530</v>
      </c>
      <c r="G55" s="184">
        <f t="shared" si="29"/>
        <v>4520</v>
      </c>
      <c r="H55" s="185">
        <f t="shared" si="29"/>
        <v>5026</v>
      </c>
      <c r="I55" s="184">
        <f ca="1">SUM(I51:I54)</f>
        <v>5722.6197744451019</v>
      </c>
      <c r="J55" s="184">
        <f t="shared" ref="J55:M55" ca="1" si="30">SUM(J51:J54)</f>
        <v>6107.8193988527128</v>
      </c>
      <c r="K55" s="184">
        <f t="shared" ca="1" si="30"/>
        <v>6801.4206859437818</v>
      </c>
      <c r="L55" s="184">
        <f t="shared" ca="1" si="30"/>
        <v>7355.1533215464387</v>
      </c>
      <c r="M55" s="186">
        <f t="shared" ca="1" si="30"/>
        <v>7883.5031373578149</v>
      </c>
      <c r="N55" s="128"/>
      <c r="O55" s="128"/>
      <c r="P55" s="128"/>
      <c r="Q55" s="128"/>
      <c r="R55" s="128"/>
    </row>
    <row r="56" spans="1:32" x14ac:dyDescent="0.2">
      <c r="C56" s="101" t="s">
        <v>26</v>
      </c>
      <c r="D56" s="177">
        <f>'BS - FS'!B27</f>
        <v>9138</v>
      </c>
      <c r="E56" s="177">
        <f>'BS - FS'!C27</f>
        <v>8327</v>
      </c>
      <c r="F56" s="177">
        <f>'BS - FS'!D27</f>
        <v>7916</v>
      </c>
      <c r="G56" s="177">
        <f>'BS - FS'!E27</f>
        <v>7190</v>
      </c>
      <c r="H56" s="178">
        <f>'BS - FS'!F27</f>
        <v>6623</v>
      </c>
      <c r="I56" s="128">
        <f>I122</f>
        <v>6508.01</v>
      </c>
      <c r="J56" s="128">
        <f>J122</f>
        <v>6605.8600000000006</v>
      </c>
      <c r="K56" s="128">
        <f>K122</f>
        <v>6776.8600000000006</v>
      </c>
      <c r="L56" s="128">
        <f ca="1">L122</f>
        <v>6950.0114190461818</v>
      </c>
      <c r="M56" s="129">
        <f ca="1">M122</f>
        <v>7123.620175478628</v>
      </c>
      <c r="N56" s="128"/>
      <c r="O56" s="128"/>
      <c r="P56" s="128"/>
      <c r="Q56" s="128"/>
      <c r="R56" s="128"/>
    </row>
    <row r="57" spans="1:32" x14ac:dyDescent="0.2">
      <c r="C57" s="179" t="s">
        <v>40</v>
      </c>
      <c r="D57" s="177">
        <f>'BS - FS'!B35</f>
        <v>1538</v>
      </c>
      <c r="E57" s="177">
        <f>'BS - FS'!C35</f>
        <v>1442</v>
      </c>
      <c r="F57" s="177">
        <f>'BS - FS'!D35</f>
        <v>1131</v>
      </c>
      <c r="G57" s="177">
        <f>'BS - FS'!E35</f>
        <v>1051</v>
      </c>
      <c r="H57" s="178">
        <f>'BS - FS'!F35</f>
        <v>1312</v>
      </c>
      <c r="I57" s="128">
        <f>H57</f>
        <v>1312</v>
      </c>
      <c r="J57" s="128">
        <f t="shared" ref="J57:M57" si="31">I57</f>
        <v>1312</v>
      </c>
      <c r="K57" s="128">
        <f t="shared" si="31"/>
        <v>1312</v>
      </c>
      <c r="L57" s="128">
        <f t="shared" si="31"/>
        <v>1312</v>
      </c>
      <c r="M57" s="129">
        <f t="shared" si="31"/>
        <v>1312</v>
      </c>
      <c r="N57" s="128"/>
      <c r="O57" s="128"/>
      <c r="P57" s="128"/>
      <c r="Q57" s="128"/>
      <c r="R57" s="128"/>
    </row>
    <row r="58" spans="1:32" x14ac:dyDescent="0.2">
      <c r="C58" s="179" t="s">
        <v>258</v>
      </c>
      <c r="D58" s="177">
        <f>'BS - FS'!B39</f>
        <v>216</v>
      </c>
      <c r="E58" s="177">
        <f>'BS - FS'!C39</f>
        <v>208</v>
      </c>
      <c r="F58" s="177">
        <f>'BS - FS'!D39</f>
        <v>202</v>
      </c>
      <c r="G58" s="177">
        <f>'BS - FS'!E39</f>
        <v>190</v>
      </c>
      <c r="H58" s="178">
        <f>'BS - FS'!F39</f>
        <v>179</v>
      </c>
      <c r="I58" s="128">
        <f ca="1">H58*(1+I17)</f>
        <v>181.45229092738501</v>
      </c>
      <c r="J58" s="128">
        <f ca="1">I58*(1+J17)</f>
        <v>174.1034731448259</v>
      </c>
      <c r="K58" s="128">
        <f t="shared" ref="K58:M58" ca="1" si="32">J58*(1+K17)</f>
        <v>186.482230085423</v>
      </c>
      <c r="L58" s="128">
        <f t="shared" ca="1" si="32"/>
        <v>188.82843722916635</v>
      </c>
      <c r="M58" s="129">
        <f t="shared" ca="1" si="32"/>
        <v>189.32718164841893</v>
      </c>
      <c r="N58" s="128"/>
      <c r="O58" s="128"/>
      <c r="P58" s="128"/>
      <c r="Q58" s="128"/>
      <c r="R58" s="128"/>
    </row>
    <row r="59" spans="1:32" x14ac:dyDescent="0.2">
      <c r="C59" s="179" t="s">
        <v>260</v>
      </c>
      <c r="D59" s="177">
        <f>'BS - FS'!B42</f>
        <v>814</v>
      </c>
      <c r="E59" s="177">
        <f>'BS - FS'!C42</f>
        <v>560</v>
      </c>
      <c r="F59" s="177">
        <f>'BS - FS'!D42</f>
        <v>642</v>
      </c>
      <c r="G59" s="177">
        <f>'BS - FS'!E42</f>
        <v>655</v>
      </c>
      <c r="H59" s="178">
        <f>'BS - FS'!F42</f>
        <v>506</v>
      </c>
      <c r="I59" s="128">
        <f ca="1">H59*(1+I17)</f>
        <v>512.93217435339</v>
      </c>
      <c r="J59" s="128">
        <f t="shared" ref="J59:M59" ca="1" si="33">I59*(1+J17)</f>
        <v>492.15842129207766</v>
      </c>
      <c r="K59" s="128">
        <f t="shared" ca="1" si="33"/>
        <v>527.15088504594439</v>
      </c>
      <c r="L59" s="128">
        <f t="shared" ca="1" si="33"/>
        <v>533.78318010032513</v>
      </c>
      <c r="M59" s="129">
        <f t="shared" ca="1" si="33"/>
        <v>535.19303862625691</v>
      </c>
      <c r="N59" s="128"/>
      <c r="O59" s="128"/>
      <c r="P59" s="128"/>
      <c r="Q59" s="128"/>
      <c r="R59" s="128"/>
    </row>
    <row r="60" spans="1:32" x14ac:dyDescent="0.2">
      <c r="C60" s="179" t="s">
        <v>41</v>
      </c>
      <c r="D60" s="177">
        <f>'BS - FS'!B43</f>
        <v>1503</v>
      </c>
      <c r="E60" s="177">
        <f>'BS - FS'!C43</f>
        <v>1267</v>
      </c>
      <c r="F60" s="177">
        <f>'BS - FS'!D43</f>
        <v>1210</v>
      </c>
      <c r="G60" s="177">
        <f>'BS - FS'!E43</f>
        <v>1254</v>
      </c>
      <c r="H60" s="178">
        <f>'BS - FS'!F43</f>
        <v>1379</v>
      </c>
      <c r="I60" s="128">
        <f>H60</f>
        <v>1379</v>
      </c>
      <c r="J60" s="128">
        <f t="shared" ref="J60:M60" si="34">I60</f>
        <v>1379</v>
      </c>
      <c r="K60" s="128">
        <f t="shared" si="34"/>
        <v>1379</v>
      </c>
      <c r="L60" s="128">
        <f t="shared" si="34"/>
        <v>1379</v>
      </c>
      <c r="M60" s="129">
        <f t="shared" si="34"/>
        <v>1379</v>
      </c>
      <c r="N60" s="128"/>
      <c r="O60" s="128"/>
      <c r="P60" s="128"/>
      <c r="Q60" s="128"/>
      <c r="R60" s="128"/>
    </row>
    <row r="61" spans="1:32" x14ac:dyDescent="0.2">
      <c r="C61" s="187" t="s">
        <v>27</v>
      </c>
      <c r="D61" s="188">
        <f>SUM(D55:D60)</f>
        <v>17447</v>
      </c>
      <c r="E61" s="188">
        <f t="shared" ref="E61:G61" si="35">SUM(E55:E60)</f>
        <v>16132</v>
      </c>
      <c r="F61" s="188">
        <f t="shared" si="35"/>
        <v>14631</v>
      </c>
      <c r="G61" s="188">
        <f t="shared" si="35"/>
        <v>14860</v>
      </c>
      <c r="H61" s="189">
        <f>SUM(H55:H60)</f>
        <v>15025</v>
      </c>
      <c r="I61" s="160">
        <f ca="1">SUM(I55:I60)</f>
        <v>15616.014239725877</v>
      </c>
      <c r="J61" s="160">
        <f t="shared" ref="J61:M61" ca="1" si="36">SUM(J55:J60)</f>
        <v>16070.941293289616</v>
      </c>
      <c r="K61" s="160">
        <f t="shared" ca="1" si="36"/>
        <v>16982.913801075149</v>
      </c>
      <c r="L61" s="160">
        <f t="shared" ca="1" si="36"/>
        <v>17718.77635792211</v>
      </c>
      <c r="M61" s="162">
        <f t="shared" ca="1" si="36"/>
        <v>18422.643533111121</v>
      </c>
      <c r="N61" s="128"/>
      <c r="O61" s="128"/>
      <c r="P61" s="128"/>
      <c r="Q61" s="128"/>
      <c r="R61" s="128"/>
    </row>
    <row r="62" spans="1:32" x14ac:dyDescent="0.2">
      <c r="C62" s="97"/>
      <c r="D62" s="190"/>
      <c r="E62" s="190"/>
      <c r="F62" s="191"/>
      <c r="G62" s="191"/>
      <c r="H62" s="192"/>
      <c r="I62" s="128"/>
      <c r="J62" s="128"/>
      <c r="K62" s="128"/>
      <c r="L62" s="128"/>
      <c r="M62" s="129"/>
      <c r="N62" s="128"/>
      <c r="O62" s="128"/>
      <c r="P62" s="128"/>
      <c r="Q62" s="128"/>
      <c r="R62" s="128"/>
    </row>
    <row r="63" spans="1:32" s="1" customFormat="1" x14ac:dyDescent="0.2">
      <c r="A63" s="58"/>
      <c r="B63" s="58"/>
      <c r="C63" s="100" t="s">
        <v>265</v>
      </c>
      <c r="D63" s="193"/>
      <c r="E63" s="193"/>
      <c r="F63" s="194"/>
      <c r="G63" s="194"/>
      <c r="H63" s="195"/>
      <c r="I63" s="152"/>
      <c r="J63" s="152"/>
      <c r="K63" s="152"/>
      <c r="L63" s="152"/>
      <c r="M63" s="154"/>
      <c r="N63" s="128"/>
      <c r="O63" s="128"/>
      <c r="P63" s="128"/>
      <c r="Q63" s="128"/>
      <c r="R63" s="12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</row>
    <row r="64" spans="1:32" x14ac:dyDescent="0.2">
      <c r="C64" s="179" t="s">
        <v>259</v>
      </c>
      <c r="D64" s="177">
        <f>'BS - FS'!B49</f>
        <v>16</v>
      </c>
      <c r="E64" s="177">
        <f>'BS - FS'!C49</f>
        <v>1</v>
      </c>
      <c r="F64" s="177">
        <f>'BS - FS'!D49</f>
        <v>62</v>
      </c>
      <c r="G64" s="177">
        <f>'BS - FS'!E49</f>
        <v>62</v>
      </c>
      <c r="H64" s="178">
        <f>'BS - FS'!F49</f>
        <v>36</v>
      </c>
      <c r="I64" s="128">
        <f>H64</f>
        <v>36</v>
      </c>
      <c r="J64" s="128">
        <f t="shared" ref="J64:M64" si="37">I64</f>
        <v>36</v>
      </c>
      <c r="K64" s="128">
        <f t="shared" si="37"/>
        <v>36</v>
      </c>
      <c r="L64" s="128">
        <f t="shared" si="37"/>
        <v>36</v>
      </c>
      <c r="M64" s="129">
        <f t="shared" si="37"/>
        <v>36</v>
      </c>
      <c r="N64" s="128"/>
      <c r="O64" s="128"/>
      <c r="P64" s="128"/>
      <c r="Q64" s="128"/>
      <c r="R64" s="128"/>
    </row>
    <row r="65" spans="3:18" x14ac:dyDescent="0.2">
      <c r="C65" s="179" t="s">
        <v>28</v>
      </c>
      <c r="D65" s="177">
        <f>'BS - FS'!B50</f>
        <v>1898</v>
      </c>
      <c r="E65" s="177">
        <f>'BS - FS'!C50</f>
        <v>1663</v>
      </c>
      <c r="F65" s="177">
        <f>'BS - FS'!D50</f>
        <v>1484</v>
      </c>
      <c r="G65" s="177">
        <f>'BS - FS'!E50</f>
        <v>1403</v>
      </c>
      <c r="H65" s="178">
        <f>'BS - FS'!F50</f>
        <v>1674</v>
      </c>
      <c r="I65" s="128">
        <f ca="1">I153</f>
        <v>1735.4165314430259</v>
      </c>
      <c r="J65" s="128">
        <f t="shared" ref="J65:M65" ca="1" si="38">J153</f>
        <v>1665.1321619195833</v>
      </c>
      <c r="K65" s="128">
        <f t="shared" ca="1" si="38"/>
        <v>1783.5230586320656</v>
      </c>
      <c r="L65" s="128">
        <f t="shared" ca="1" si="38"/>
        <v>1805.9622719516228</v>
      </c>
      <c r="M65" s="129">
        <f t="shared" ca="1" si="38"/>
        <v>1810.7322823257671</v>
      </c>
      <c r="N65" s="128"/>
      <c r="O65" s="128"/>
      <c r="P65" s="128"/>
      <c r="Q65" s="128"/>
      <c r="R65" s="128"/>
    </row>
    <row r="66" spans="3:18" x14ac:dyDescent="0.2">
      <c r="C66" s="101" t="s">
        <v>261</v>
      </c>
      <c r="D66" s="177">
        <f>'BS - FS'!B53</f>
        <v>459</v>
      </c>
      <c r="E66" s="177">
        <f>'BS - FS'!C53</f>
        <v>400</v>
      </c>
      <c r="F66" s="177">
        <f>'BS - FS'!D53</f>
        <v>413</v>
      </c>
      <c r="G66" s="177">
        <f>'BS - FS'!E53</f>
        <v>395</v>
      </c>
      <c r="H66" s="178">
        <f>'BS - FS'!F53</f>
        <v>383</v>
      </c>
      <c r="I66" s="128">
        <f ca="1">H66*(I30/H30)</f>
        <v>463.83807391079267</v>
      </c>
      <c r="J66" s="128">
        <f t="shared" ref="J66:M66" ca="1" si="39">I66*(J30/I30)</f>
        <v>445.05263191740551</v>
      </c>
      <c r="K66" s="128">
        <f t="shared" ca="1" si="39"/>
        <v>476.69587404673302</v>
      </c>
      <c r="L66" s="128">
        <f t="shared" ca="1" si="39"/>
        <v>482.69337453012542</v>
      </c>
      <c r="M66" s="129">
        <f t="shared" ca="1" si="39"/>
        <v>483.96829175281533</v>
      </c>
      <c r="N66" s="128"/>
      <c r="O66" s="128"/>
      <c r="P66" s="128"/>
      <c r="Q66" s="128"/>
      <c r="R66" s="128"/>
    </row>
    <row r="67" spans="3:18" x14ac:dyDescent="0.2">
      <c r="C67" s="101" t="s">
        <v>73</v>
      </c>
      <c r="D67" s="177">
        <f>'BS - FS'!B51</f>
        <v>282</v>
      </c>
      <c r="E67" s="177">
        <f>'BS - FS'!C51</f>
        <v>426</v>
      </c>
      <c r="F67" s="177">
        <f>'BS - FS'!D51</f>
        <v>104</v>
      </c>
      <c r="G67" s="177">
        <f>'BS - FS'!E51</f>
        <v>91</v>
      </c>
      <c r="H67" s="178">
        <f>'BS - FS'!F51</f>
        <v>374</v>
      </c>
      <c r="I67" s="128">
        <f ca="1">H67*(I36/H36)</f>
        <v>166.99281987324892</v>
      </c>
      <c r="J67" s="128">
        <f t="shared" ref="J67:M67" ca="1" si="40">I67*(J36/I36)</f>
        <v>154.04226800969386</v>
      </c>
      <c r="K67" s="128">
        <f t="shared" ca="1" si="40"/>
        <v>175.85689704376941</v>
      </c>
      <c r="L67" s="128">
        <f t="shared" ca="1" si="40"/>
        <v>179.99153178322416</v>
      </c>
      <c r="M67" s="129">
        <f t="shared" ca="1" si="40"/>
        <v>180.87045076846806</v>
      </c>
      <c r="N67" s="128"/>
      <c r="O67" s="128"/>
      <c r="P67" s="128"/>
      <c r="Q67" s="128"/>
      <c r="R67" s="128"/>
    </row>
    <row r="68" spans="3:18" x14ac:dyDescent="0.2">
      <c r="C68" s="180" t="s">
        <v>29</v>
      </c>
      <c r="D68" s="181">
        <f>'BS - FS'!B54</f>
        <v>597</v>
      </c>
      <c r="E68" s="181">
        <f>'BS - FS'!C54</f>
        <v>429</v>
      </c>
      <c r="F68" s="181">
        <f>'BS - FS'!D54</f>
        <v>500</v>
      </c>
      <c r="G68" s="181">
        <f>'BS - FS'!E54</f>
        <v>810</v>
      </c>
      <c r="H68" s="182">
        <f>'BS - FS'!F54</f>
        <v>756</v>
      </c>
      <c r="I68" s="150">
        <f ca="1">H68*(1+I17)</f>
        <v>766.35716168214003</v>
      </c>
      <c r="J68" s="150">
        <f ca="1">I68*(1+J17)</f>
        <v>735.31969663401333</v>
      </c>
      <c r="K68" s="150">
        <f ca="1">J68*(1+K17)</f>
        <v>787.60092706469163</v>
      </c>
      <c r="L68" s="150">
        <f ca="1">K68*(1+L17)</f>
        <v>797.51004773882562</v>
      </c>
      <c r="M68" s="151">
        <f ca="1">L68*(1+M17)</f>
        <v>799.61647668270803</v>
      </c>
      <c r="N68" s="128"/>
      <c r="O68" s="128"/>
      <c r="P68" s="128"/>
      <c r="Q68" s="128"/>
      <c r="R68" s="128"/>
    </row>
    <row r="69" spans="3:18" x14ac:dyDescent="0.2">
      <c r="C69" s="100" t="s">
        <v>32</v>
      </c>
      <c r="D69" s="184">
        <f t="shared" ref="D69:M69" si="41">SUM(D64:D68)</f>
        <v>3252</v>
      </c>
      <c r="E69" s="184">
        <f t="shared" si="41"/>
        <v>2919</v>
      </c>
      <c r="F69" s="184">
        <f t="shared" si="41"/>
        <v>2563</v>
      </c>
      <c r="G69" s="184">
        <f t="shared" si="41"/>
        <v>2761</v>
      </c>
      <c r="H69" s="185">
        <f t="shared" si="41"/>
        <v>3223</v>
      </c>
      <c r="I69" s="152">
        <f t="shared" ca="1" si="41"/>
        <v>3168.6045869092077</v>
      </c>
      <c r="J69" s="152">
        <f t="shared" ca="1" si="41"/>
        <v>3035.5467584806961</v>
      </c>
      <c r="K69" s="152">
        <f t="shared" ca="1" si="41"/>
        <v>3259.6767567872594</v>
      </c>
      <c r="L69" s="152">
        <f t="shared" ca="1" si="41"/>
        <v>3302.1572260037979</v>
      </c>
      <c r="M69" s="154">
        <f t="shared" ca="1" si="41"/>
        <v>3311.1875015297583</v>
      </c>
      <c r="N69" s="128"/>
      <c r="O69" s="128"/>
      <c r="P69" s="128"/>
      <c r="Q69" s="128"/>
      <c r="R69" s="128"/>
    </row>
    <row r="70" spans="3:18" x14ac:dyDescent="0.2">
      <c r="C70" s="101" t="s">
        <v>30</v>
      </c>
      <c r="D70" s="177">
        <f>'BS - FS'!B57</f>
        <v>1388</v>
      </c>
      <c r="E70" s="177">
        <f>'BS - FS'!C57</f>
        <v>1801</v>
      </c>
      <c r="F70" s="177">
        <f>'BS - FS'!D57</f>
        <v>1899</v>
      </c>
      <c r="G70" s="177">
        <f>'BS - FS'!E57</f>
        <v>2545</v>
      </c>
      <c r="H70" s="178">
        <f>'BS - FS'!F57</f>
        <v>1790</v>
      </c>
      <c r="I70" s="128">
        <f>H70</f>
        <v>1790</v>
      </c>
      <c r="J70" s="128">
        <f t="shared" ref="J70:M71" si="42">I70</f>
        <v>1790</v>
      </c>
      <c r="K70" s="128">
        <f t="shared" si="42"/>
        <v>1790</v>
      </c>
      <c r="L70" s="128">
        <f t="shared" si="42"/>
        <v>1790</v>
      </c>
      <c r="M70" s="129">
        <f t="shared" si="42"/>
        <v>1790</v>
      </c>
      <c r="N70" s="128"/>
      <c r="O70" s="128"/>
      <c r="P70" s="128"/>
      <c r="Q70" s="128"/>
      <c r="R70" s="128"/>
    </row>
    <row r="71" spans="3:18" x14ac:dyDescent="0.2">
      <c r="C71" s="179" t="s">
        <v>302</v>
      </c>
      <c r="D71" s="177">
        <f>'BS - FS'!B60</f>
        <v>4316</v>
      </c>
      <c r="E71" s="177">
        <f>'BS - FS'!C60</f>
        <v>3040</v>
      </c>
      <c r="F71" s="177">
        <f>'BS - FS'!D60</f>
        <v>3156</v>
      </c>
      <c r="G71" s="177">
        <f>'BS - FS'!E60</f>
        <v>3154</v>
      </c>
      <c r="H71" s="178">
        <f>'BS - FS'!F60</f>
        <v>1954</v>
      </c>
      <c r="I71" s="128">
        <f>H71</f>
        <v>1954</v>
      </c>
      <c r="J71" s="128">
        <f t="shared" si="42"/>
        <v>1954</v>
      </c>
      <c r="K71" s="128">
        <f t="shared" si="42"/>
        <v>1954</v>
      </c>
      <c r="L71" s="128">
        <f t="shared" si="42"/>
        <v>1954</v>
      </c>
      <c r="M71" s="129">
        <f t="shared" si="42"/>
        <v>1954</v>
      </c>
      <c r="N71" s="128"/>
      <c r="O71" s="128"/>
      <c r="P71" s="128"/>
      <c r="Q71" s="128"/>
      <c r="R71" s="128"/>
    </row>
    <row r="72" spans="3:18" x14ac:dyDescent="0.2">
      <c r="C72" s="179" t="s">
        <v>74</v>
      </c>
      <c r="D72" s="196">
        <f>'BS - FS'!B61</f>
        <v>0</v>
      </c>
      <c r="E72" s="196">
        <f>'BS - FS'!C61</f>
        <v>0</v>
      </c>
      <c r="F72" s="196">
        <f>'BS - FS'!D61</f>
        <v>0</v>
      </c>
      <c r="G72" s="197">
        <f>'BS - FS'!E61</f>
        <v>169</v>
      </c>
      <c r="H72" s="178">
        <f>'BS - FS'!F61</f>
        <v>174</v>
      </c>
      <c r="I72" s="128">
        <f ca="1">H72*(1+I17)</f>
        <v>176.38379118081002</v>
      </c>
      <c r="J72" s="128">
        <f t="shared" ref="J72:M72" ca="1" si="43">I72*(1+J17)</f>
        <v>169.24024763798721</v>
      </c>
      <c r="K72" s="128">
        <f t="shared" ca="1" si="43"/>
        <v>181.2732292450481</v>
      </c>
      <c r="L72" s="128">
        <f t="shared" ca="1" si="43"/>
        <v>183.5538998763964</v>
      </c>
      <c r="M72" s="129">
        <f t="shared" ca="1" si="43"/>
        <v>184.03871288728996</v>
      </c>
      <c r="N72" s="128"/>
      <c r="O72" s="128"/>
      <c r="P72" s="128"/>
      <c r="Q72" s="128"/>
      <c r="R72" s="128"/>
    </row>
    <row r="73" spans="3:18" x14ac:dyDescent="0.2">
      <c r="C73" s="179" t="s">
        <v>33</v>
      </c>
      <c r="D73" s="177">
        <f>'BS - FS'!B62</f>
        <v>1693</v>
      </c>
      <c r="E73" s="177">
        <f>'BS - FS'!C62</f>
        <v>784</v>
      </c>
      <c r="F73" s="177">
        <f>'BS - FS'!D62</f>
        <v>1127</v>
      </c>
      <c r="G73" s="177">
        <f>'BS - FS'!E62</f>
        <v>1215</v>
      </c>
      <c r="H73" s="178">
        <f>'BS - FS'!F62</f>
        <v>1600</v>
      </c>
      <c r="I73" s="128">
        <f>H73</f>
        <v>1600</v>
      </c>
      <c r="J73" s="128">
        <f t="shared" ref="J73:M73" si="44">I73</f>
        <v>1600</v>
      </c>
      <c r="K73" s="128">
        <f t="shared" si="44"/>
        <v>1600</v>
      </c>
      <c r="L73" s="128">
        <f t="shared" si="44"/>
        <v>1600</v>
      </c>
      <c r="M73" s="129">
        <f t="shared" si="44"/>
        <v>1600</v>
      </c>
      <c r="N73" s="128"/>
      <c r="O73" s="128"/>
      <c r="P73" s="128"/>
      <c r="Q73" s="128"/>
      <c r="R73" s="128"/>
    </row>
    <row r="74" spans="3:18" x14ac:dyDescent="0.2">
      <c r="C74" s="159" t="s">
        <v>37</v>
      </c>
      <c r="D74" s="188">
        <f>SUM(D69:D73)</f>
        <v>10649</v>
      </c>
      <c r="E74" s="188">
        <f t="shared" ref="E74:H74" si="45">SUM(E69:E73)</f>
        <v>8544</v>
      </c>
      <c r="F74" s="188">
        <f t="shared" si="45"/>
        <v>8745</v>
      </c>
      <c r="G74" s="188">
        <f t="shared" si="45"/>
        <v>9844</v>
      </c>
      <c r="H74" s="189">
        <f t="shared" si="45"/>
        <v>8741</v>
      </c>
      <c r="I74" s="160">
        <f ca="1">SUM(I69:I73)</f>
        <v>8688.9883780900182</v>
      </c>
      <c r="J74" s="160">
        <f t="shared" ref="J74:M74" ca="1" si="46">SUM(J69:J73)</f>
        <v>8548.7870061186841</v>
      </c>
      <c r="K74" s="160">
        <f t="shared" ca="1" si="46"/>
        <v>8784.9499860323085</v>
      </c>
      <c r="L74" s="160">
        <f t="shared" ca="1" si="46"/>
        <v>8829.7111258801942</v>
      </c>
      <c r="M74" s="162">
        <f t="shared" ca="1" si="46"/>
        <v>8839.2262144170491</v>
      </c>
      <c r="N74" s="128"/>
      <c r="O74" s="128"/>
      <c r="P74" s="128"/>
      <c r="Q74" s="128"/>
      <c r="R74" s="128"/>
    </row>
    <row r="75" spans="3:18" x14ac:dyDescent="0.2">
      <c r="C75" s="97"/>
      <c r="D75" s="198"/>
      <c r="E75" s="190"/>
      <c r="F75" s="191"/>
      <c r="G75" s="191"/>
      <c r="H75" s="192"/>
      <c r="I75" s="128"/>
      <c r="J75" s="128"/>
      <c r="K75" s="128"/>
      <c r="L75" s="128"/>
      <c r="M75" s="129"/>
      <c r="N75" s="128"/>
      <c r="O75" s="128"/>
      <c r="P75" s="128"/>
      <c r="Q75" s="128"/>
      <c r="R75" s="128"/>
    </row>
    <row r="76" spans="3:18" x14ac:dyDescent="0.2">
      <c r="C76" s="100" t="s">
        <v>266</v>
      </c>
      <c r="D76" s="198"/>
      <c r="E76" s="190"/>
      <c r="F76" s="191"/>
      <c r="G76" s="191"/>
      <c r="H76" s="192"/>
      <c r="I76" s="128"/>
      <c r="J76" s="128"/>
      <c r="K76" s="128"/>
      <c r="L76" s="128"/>
      <c r="M76" s="129"/>
      <c r="N76" s="128"/>
      <c r="O76" s="128"/>
      <c r="P76" s="128"/>
      <c r="Q76" s="128"/>
      <c r="R76" s="128"/>
    </row>
    <row r="77" spans="3:18" x14ac:dyDescent="0.2">
      <c r="C77" s="101" t="s">
        <v>35</v>
      </c>
      <c r="D77" s="199">
        <f>'BS - FS'!B70</f>
        <v>2</v>
      </c>
      <c r="E77" s="199">
        <f>'BS - FS'!C70</f>
        <v>2</v>
      </c>
      <c r="F77" s="199">
        <f>'BS - FS'!D70</f>
        <v>2</v>
      </c>
      <c r="G77" s="199">
        <f>'BS - FS'!E70</f>
        <v>2</v>
      </c>
      <c r="H77" s="200">
        <f>'BS - FS'!F70</f>
        <v>2</v>
      </c>
      <c r="I77" s="128">
        <f>H77</f>
        <v>2</v>
      </c>
      <c r="J77" s="128">
        <f t="shared" ref="J77:M77" si="47">I77</f>
        <v>2</v>
      </c>
      <c r="K77" s="128">
        <f t="shared" si="47"/>
        <v>2</v>
      </c>
      <c r="L77" s="128">
        <f t="shared" si="47"/>
        <v>2</v>
      </c>
      <c r="M77" s="129">
        <f t="shared" si="47"/>
        <v>2</v>
      </c>
      <c r="N77" s="128"/>
      <c r="O77" s="128"/>
      <c r="P77" s="128"/>
      <c r="Q77" s="128"/>
      <c r="R77" s="128"/>
    </row>
    <row r="78" spans="3:18" x14ac:dyDescent="0.2">
      <c r="C78" s="101" t="s">
        <v>34</v>
      </c>
      <c r="D78" s="199">
        <f>'BS - FS'!B71</f>
        <v>9590</v>
      </c>
      <c r="E78" s="199">
        <f>'BS - FS'!C71</f>
        <v>9611</v>
      </c>
      <c r="F78" s="199">
        <f>'BS - FS'!D71</f>
        <v>9639</v>
      </c>
      <c r="G78" s="199">
        <f>'BS - FS'!E71</f>
        <v>9663</v>
      </c>
      <c r="H78" s="200">
        <f>'BS - FS'!F71</f>
        <v>9577</v>
      </c>
      <c r="I78" s="128">
        <f ca="1">H78+I43</f>
        <v>9616.5342980232854</v>
      </c>
      <c r="J78" s="128">
        <f t="shared" ref="J78:M78" ca="1" si="48">I78+J43</f>
        <v>9654.4674569766266</v>
      </c>
      <c r="K78" s="128">
        <f t="shared" ca="1" si="48"/>
        <v>9695.097663531551</v>
      </c>
      <c r="L78" s="128">
        <f t="shared" ca="1" si="48"/>
        <v>9736.2390548831572</v>
      </c>
      <c r="M78" s="129">
        <f t="shared" ca="1" si="48"/>
        <v>9777.4891112199639</v>
      </c>
      <c r="N78" s="128"/>
      <c r="O78" s="128"/>
      <c r="P78" s="128"/>
      <c r="Q78" s="128"/>
      <c r="R78" s="128"/>
    </row>
    <row r="79" spans="3:18" x14ac:dyDescent="0.2">
      <c r="C79" s="101" t="s">
        <v>63</v>
      </c>
      <c r="D79" s="199">
        <f>'BS - FS'!B72</f>
        <v>113</v>
      </c>
      <c r="E79" s="199">
        <f>'BS - FS'!C72</f>
        <v>570</v>
      </c>
      <c r="F79" s="199">
        <f>'BS - FS'!D72</f>
        <v>-555</v>
      </c>
      <c r="G79" s="199">
        <f>'BS - FS'!E72</f>
        <v>-725</v>
      </c>
      <c r="H79" s="200">
        <f>'BS - FS'!F72</f>
        <v>-315</v>
      </c>
      <c r="I79" s="128">
        <f ca="1">H79+I39</f>
        <v>123.53967167161227</v>
      </c>
      <c r="J79" s="128">
        <f t="shared" ref="J79:M79" ca="1" si="49">I79+J39</f>
        <v>528.06991247954818</v>
      </c>
      <c r="K79" s="128">
        <f t="shared" ca="1" si="49"/>
        <v>989.88752804708588</v>
      </c>
      <c r="L79" s="128">
        <f t="shared" ca="1" si="49"/>
        <v>1462.5631036305022</v>
      </c>
      <c r="M79" s="129">
        <f t="shared" ca="1" si="49"/>
        <v>1937.5468074526498</v>
      </c>
      <c r="N79" s="128"/>
      <c r="O79" s="128"/>
      <c r="P79" s="128"/>
      <c r="Q79" s="128"/>
      <c r="R79" s="128"/>
    </row>
    <row r="80" spans="3:18" x14ac:dyDescent="0.2">
      <c r="C80" s="101" t="s">
        <v>36</v>
      </c>
      <c r="D80" s="199">
        <f>SUM('BS - FS'!B73:B75)</f>
        <v>-5182</v>
      </c>
      <c r="E80" s="199">
        <f>SUM('BS - FS'!C73:C75)</f>
        <v>-4565</v>
      </c>
      <c r="F80" s="199">
        <f>SUM('BS - FS'!D73:D75)</f>
        <v>-4974</v>
      </c>
      <c r="G80" s="199">
        <f>SUM('BS - FS'!E73:E75)</f>
        <v>-5629</v>
      </c>
      <c r="H80" s="200">
        <f>SUM('BS - FS'!F73:F75)</f>
        <v>-4592</v>
      </c>
      <c r="I80" s="128">
        <f>H80</f>
        <v>-4592</v>
      </c>
      <c r="J80" s="128">
        <f t="shared" ref="J80:M80" si="50">I80</f>
        <v>-4592</v>
      </c>
      <c r="K80" s="128">
        <f t="shared" si="50"/>
        <v>-4592</v>
      </c>
      <c r="L80" s="128">
        <f t="shared" si="50"/>
        <v>-4592</v>
      </c>
      <c r="M80" s="129">
        <f t="shared" si="50"/>
        <v>-4592</v>
      </c>
      <c r="N80" s="128"/>
      <c r="O80" s="128"/>
      <c r="P80" s="128"/>
      <c r="Q80" s="128"/>
      <c r="R80" s="128"/>
    </row>
    <row r="81" spans="2:18" x14ac:dyDescent="0.2">
      <c r="C81" s="201" t="s">
        <v>38</v>
      </c>
      <c r="D81" s="202">
        <f>SUM(D77:D80)</f>
        <v>4523</v>
      </c>
      <c r="E81" s="202">
        <f t="shared" ref="E81:H81" si="51">SUM(E77:E80)</f>
        <v>5618</v>
      </c>
      <c r="F81" s="202">
        <f t="shared" si="51"/>
        <v>4112</v>
      </c>
      <c r="G81" s="202">
        <f t="shared" si="51"/>
        <v>3311</v>
      </c>
      <c r="H81" s="203">
        <f t="shared" si="51"/>
        <v>4672</v>
      </c>
      <c r="I81" s="204">
        <f ca="1">SUM(I77:I80)</f>
        <v>5150.0739696948986</v>
      </c>
      <c r="J81" s="204">
        <f t="shared" ref="J81:M81" ca="1" si="52">SUM(J77:J80)</f>
        <v>5592.5373694561749</v>
      </c>
      <c r="K81" s="204">
        <f t="shared" ca="1" si="52"/>
        <v>6094.9851915786367</v>
      </c>
      <c r="L81" s="204">
        <f t="shared" ca="1" si="52"/>
        <v>6608.8021585136594</v>
      </c>
      <c r="M81" s="205">
        <f t="shared" ca="1" si="52"/>
        <v>7125.0359186726128</v>
      </c>
      <c r="N81" s="128"/>
      <c r="O81" s="128"/>
      <c r="P81" s="128"/>
      <c r="Q81" s="128"/>
      <c r="R81" s="128"/>
    </row>
    <row r="82" spans="2:18" x14ac:dyDescent="0.2">
      <c r="C82" s="206" t="s">
        <v>304</v>
      </c>
      <c r="D82" s="181">
        <f>'BS - FS'!B78</f>
        <v>2275</v>
      </c>
      <c r="E82" s="181">
        <f>'BS - FS'!C78</f>
        <v>1970</v>
      </c>
      <c r="F82" s="181">
        <f>'BS - FS'!D78</f>
        <v>1774</v>
      </c>
      <c r="G82" s="181">
        <f>'BS - FS'!E78</f>
        <v>1705</v>
      </c>
      <c r="H82" s="182">
        <f>'BS - FS'!F78</f>
        <v>1612</v>
      </c>
      <c r="I82" s="150">
        <f ca="1">($H$82/$H$81)*I81</f>
        <v>1776.9518919409625</v>
      </c>
      <c r="J82" s="150">
        <f ca="1">($H$82/$H$81)*J81</f>
        <v>1929.616917714759</v>
      </c>
      <c r="K82" s="150">
        <f ca="1">($H$82/$H$81)*K81</f>
        <v>2102.9786234642042</v>
      </c>
      <c r="L82" s="150">
        <f t="shared" ref="L82:M82" ca="1" si="53">($H$82/$H$81)*L81</f>
        <v>2280.2630735282578</v>
      </c>
      <c r="M82" s="151">
        <f t="shared" ca="1" si="53"/>
        <v>2458.3814000214579</v>
      </c>
      <c r="N82" s="128"/>
      <c r="O82" s="128"/>
      <c r="P82" s="128"/>
      <c r="Q82" s="128"/>
      <c r="R82" s="128"/>
    </row>
    <row r="83" spans="2:18" x14ac:dyDescent="0.2">
      <c r="C83" s="207" t="s">
        <v>42</v>
      </c>
      <c r="D83" s="208">
        <f>D81+D82</f>
        <v>6798</v>
      </c>
      <c r="E83" s="208">
        <f t="shared" ref="E83:M83" si="54">E81+E82</f>
        <v>7588</v>
      </c>
      <c r="F83" s="208">
        <f t="shared" si="54"/>
        <v>5886</v>
      </c>
      <c r="G83" s="208">
        <f t="shared" si="54"/>
        <v>5016</v>
      </c>
      <c r="H83" s="209">
        <f t="shared" si="54"/>
        <v>6284</v>
      </c>
      <c r="I83" s="208">
        <f t="shared" ca="1" si="54"/>
        <v>6927.0258616358606</v>
      </c>
      <c r="J83" s="208">
        <f t="shared" ca="1" si="54"/>
        <v>7522.1542871709335</v>
      </c>
      <c r="K83" s="208">
        <f t="shared" ca="1" si="54"/>
        <v>8197.96381504284</v>
      </c>
      <c r="L83" s="208">
        <f t="shared" ca="1" si="54"/>
        <v>8889.0652320419176</v>
      </c>
      <c r="M83" s="210">
        <f t="shared" ca="1" si="54"/>
        <v>9583.4173186940716</v>
      </c>
      <c r="N83" s="128"/>
      <c r="O83" s="128"/>
      <c r="P83" s="128"/>
      <c r="Q83" s="128"/>
      <c r="R83" s="128"/>
    </row>
    <row r="84" spans="2:18" x14ac:dyDescent="0.2">
      <c r="C84" s="97"/>
      <c r="D84" s="190"/>
      <c r="E84" s="190"/>
      <c r="F84" s="191"/>
      <c r="G84" s="191"/>
      <c r="H84" s="192"/>
      <c r="I84" s="128"/>
      <c r="J84" s="128"/>
      <c r="K84" s="128"/>
      <c r="L84" s="128"/>
      <c r="M84" s="129"/>
      <c r="N84" s="128"/>
      <c r="O84" s="128"/>
      <c r="P84" s="128"/>
      <c r="Q84" s="128"/>
      <c r="R84" s="128"/>
    </row>
    <row r="85" spans="2:18" x14ac:dyDescent="0.2">
      <c r="C85" s="159" t="s">
        <v>43</v>
      </c>
      <c r="D85" s="188">
        <f>D74+D83</f>
        <v>17447</v>
      </c>
      <c r="E85" s="188">
        <f t="shared" ref="E85:M85" si="55">E74+E83</f>
        <v>16132</v>
      </c>
      <c r="F85" s="188">
        <f t="shared" si="55"/>
        <v>14631</v>
      </c>
      <c r="G85" s="188">
        <f t="shared" si="55"/>
        <v>14860</v>
      </c>
      <c r="H85" s="189">
        <f t="shared" si="55"/>
        <v>15025</v>
      </c>
      <c r="I85" s="188">
        <f t="shared" ca="1" si="55"/>
        <v>15616.014239725879</v>
      </c>
      <c r="J85" s="188">
        <f t="shared" ca="1" si="55"/>
        <v>16070.941293289618</v>
      </c>
      <c r="K85" s="188">
        <f t="shared" ca="1" si="55"/>
        <v>16982.913801075149</v>
      </c>
      <c r="L85" s="188">
        <f t="shared" ca="1" si="55"/>
        <v>17718.776357922114</v>
      </c>
      <c r="M85" s="211">
        <f t="shared" ca="1" si="55"/>
        <v>18422.643533111121</v>
      </c>
      <c r="N85" s="128"/>
      <c r="O85" s="128"/>
      <c r="P85" s="128"/>
      <c r="Q85" s="128"/>
      <c r="R85" s="128"/>
    </row>
    <row r="86" spans="2:18" x14ac:dyDescent="0.2">
      <c r="C86" s="97"/>
      <c r="H86" s="98"/>
      <c r="M86" s="99"/>
      <c r="N86" s="128"/>
      <c r="O86" s="128"/>
      <c r="P86" s="128"/>
      <c r="Q86" s="128"/>
      <c r="R86" s="128"/>
    </row>
    <row r="87" spans="2:18" ht="17" thickBot="1" x14ac:dyDescent="0.25">
      <c r="C87" s="132" t="s">
        <v>39</v>
      </c>
      <c r="D87" s="212">
        <f t="shared" ref="D87:M87" si="56">ROUND(D61-D85,3)</f>
        <v>0</v>
      </c>
      <c r="E87" s="212">
        <f t="shared" si="56"/>
        <v>0</v>
      </c>
      <c r="F87" s="212">
        <f t="shared" si="56"/>
        <v>0</v>
      </c>
      <c r="G87" s="212">
        <f t="shared" si="56"/>
        <v>0</v>
      </c>
      <c r="H87" s="213">
        <f t="shared" si="56"/>
        <v>0</v>
      </c>
      <c r="I87" s="214">
        <f ca="1">ROUND(I61-I85,3)</f>
        <v>0</v>
      </c>
      <c r="J87" s="214">
        <f t="shared" ca="1" si="56"/>
        <v>0</v>
      </c>
      <c r="K87" s="214">
        <f t="shared" ca="1" si="56"/>
        <v>0</v>
      </c>
      <c r="L87" s="214">
        <f t="shared" ca="1" si="56"/>
        <v>0</v>
      </c>
      <c r="M87" s="215">
        <f t="shared" ca="1" si="56"/>
        <v>0</v>
      </c>
      <c r="N87" s="128"/>
      <c r="O87" s="128"/>
      <c r="P87" s="128"/>
      <c r="Q87" s="128"/>
      <c r="R87" s="128"/>
    </row>
    <row r="89" spans="2:18" ht="17" thickBot="1" x14ac:dyDescent="0.25">
      <c r="B89" s="57" t="s">
        <v>0</v>
      </c>
      <c r="C89" s="62" t="s">
        <v>269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</row>
    <row r="90" spans="2:18" ht="17" thickBot="1" x14ac:dyDescent="0.25"/>
    <row r="91" spans="2:18" x14ac:dyDescent="0.2">
      <c r="C91" s="65" t="str">
        <f>C48</f>
        <v>Fiscal year</v>
      </c>
      <c r="D91" s="119"/>
      <c r="E91" s="66"/>
      <c r="F91" s="66"/>
      <c r="G91" s="66"/>
      <c r="H91" s="67"/>
      <c r="I91" s="68">
        <f t="shared" ref="I91:M92" si="57">I48</f>
        <v>2022</v>
      </c>
      <c r="J91" s="68">
        <f t="shared" si="57"/>
        <v>2023</v>
      </c>
      <c r="K91" s="68">
        <f t="shared" si="57"/>
        <v>2024</v>
      </c>
      <c r="L91" s="68">
        <f t="shared" si="57"/>
        <v>2025</v>
      </c>
      <c r="M91" s="69">
        <f t="shared" si="57"/>
        <v>2026</v>
      </c>
    </row>
    <row r="92" spans="2:18" ht="17" thickBot="1" x14ac:dyDescent="0.25">
      <c r="C92" s="70" t="str">
        <f>C49</f>
        <v>Fiscal year end date</v>
      </c>
      <c r="D92" s="120"/>
      <c r="E92" s="71"/>
      <c r="F92" s="71"/>
      <c r="G92" s="71"/>
      <c r="H92" s="72"/>
      <c r="I92" s="71">
        <f t="shared" si="57"/>
        <v>44926</v>
      </c>
      <c r="J92" s="71">
        <f t="shared" si="57"/>
        <v>45291</v>
      </c>
      <c r="K92" s="71">
        <f t="shared" si="57"/>
        <v>45657</v>
      </c>
      <c r="L92" s="71">
        <f t="shared" si="57"/>
        <v>46022</v>
      </c>
      <c r="M92" s="73">
        <f t="shared" si="57"/>
        <v>46387</v>
      </c>
    </row>
    <row r="93" spans="2:18" x14ac:dyDescent="0.2">
      <c r="C93" s="74" t="s">
        <v>16</v>
      </c>
      <c r="D93" s="75"/>
      <c r="E93" s="75"/>
      <c r="F93" s="75"/>
      <c r="G93" s="75"/>
      <c r="H93" s="76"/>
      <c r="I93" s="145">
        <f ca="1">I39</f>
        <v>438.53967167161227</v>
      </c>
      <c r="J93" s="145">
        <f ca="1">J39</f>
        <v>404.53024080793591</v>
      </c>
      <c r="K93" s="145">
        <f ca="1">K39</f>
        <v>461.81761556753776</v>
      </c>
      <c r="L93" s="145">
        <f ca="1">L39</f>
        <v>472.67557558341628</v>
      </c>
      <c r="M93" s="146">
        <f ca="1">M39</f>
        <v>474.98370382214762</v>
      </c>
    </row>
    <row r="94" spans="2:18" x14ac:dyDescent="0.2">
      <c r="C94" s="97" t="s">
        <v>64</v>
      </c>
      <c r="H94" s="98"/>
      <c r="I94" s="168">
        <f ca="1">I130</f>
        <v>618.85696504766065</v>
      </c>
      <c r="J94" s="168">
        <f t="shared" ref="J94:M94" ca="1" si="58">J130</f>
        <v>585.36663296323047</v>
      </c>
      <c r="K94" s="168">
        <f t="shared" ca="1" si="58"/>
        <v>492.4425755669161</v>
      </c>
      <c r="L94" s="168">
        <f t="shared" ca="1" si="58"/>
        <v>498.63819156823286</v>
      </c>
      <c r="M94" s="169">
        <f t="shared" ca="1" si="58"/>
        <v>499.95522314949324</v>
      </c>
    </row>
    <row r="95" spans="2:18" x14ac:dyDescent="0.2">
      <c r="C95" s="97" t="s">
        <v>65</v>
      </c>
      <c r="H95" s="98"/>
      <c r="I95" s="168">
        <f ca="1">I43</f>
        <v>39.534298023285004</v>
      </c>
      <c r="J95" s="168">
        <f ca="1">J43</f>
        <v>37.933158953341959</v>
      </c>
      <c r="K95" s="168">
        <f ca="1">K43</f>
        <v>40.630206554924563</v>
      </c>
      <c r="L95" s="168">
        <f ca="1">L43</f>
        <v>41.141391351606082</v>
      </c>
      <c r="M95" s="169">
        <f ca="1">M43</f>
        <v>41.25005633680636</v>
      </c>
    </row>
    <row r="96" spans="2:18" x14ac:dyDescent="0.2">
      <c r="C96" s="97" t="s">
        <v>66</v>
      </c>
      <c r="H96" s="98"/>
      <c r="I96" s="128">
        <f ca="1">SUM(H52:H54)-SUM(I52:I54)</f>
        <v>151.19272523072232</v>
      </c>
      <c r="J96" s="128">
        <f t="shared" ref="J96:M96" ca="1" si="59">SUM(I52:I54)-SUM(J52:J54)</f>
        <v>118.9406946281556</v>
      </c>
      <c r="K96" s="128">
        <f t="shared" ca="1" si="59"/>
        <v>-200.35031384803324</v>
      </c>
      <c r="L96" s="128">
        <f t="shared" ca="1" si="59"/>
        <v>-37.973387784993974</v>
      </c>
      <c r="M96" s="129">
        <f t="shared" ca="1" si="59"/>
        <v>-8.0721837747296377</v>
      </c>
    </row>
    <row r="97" spans="3:13" x14ac:dyDescent="0.2">
      <c r="C97" s="97" t="s">
        <v>67</v>
      </c>
      <c r="H97" s="98"/>
      <c r="I97" s="128">
        <f ca="1">SUM(I65:I68)-SUM(H65:H68)</f>
        <v>-54.395413090792317</v>
      </c>
      <c r="J97" s="128">
        <f t="shared" ref="J97:M97" ca="1" si="60">SUM(J65:J68)-SUM(I65:I68)</f>
        <v>-133.05782842851158</v>
      </c>
      <c r="K97" s="128">
        <f t="shared" ca="1" si="60"/>
        <v>224.12999830656327</v>
      </c>
      <c r="L97" s="128">
        <f t="shared" ca="1" si="60"/>
        <v>42.480469216538495</v>
      </c>
      <c r="M97" s="129">
        <f t="shared" ca="1" si="60"/>
        <v>9.0302755259604055</v>
      </c>
    </row>
    <row r="98" spans="3:13" x14ac:dyDescent="0.2">
      <c r="C98" s="97" t="s">
        <v>271</v>
      </c>
      <c r="H98" s="98"/>
      <c r="I98" s="128">
        <f ca="1">(H59-I59)+(I72-H72)</f>
        <v>-4.5483831725799746</v>
      </c>
      <c r="J98" s="128">
        <f ca="1">(I59-J59)+(J72-I72)</f>
        <v>13.630209518489522</v>
      </c>
      <c r="K98" s="128">
        <f ca="1">(J59-K59)+(K72-J72)</f>
        <v>-22.95948214680584</v>
      </c>
      <c r="L98" s="128">
        <f ca="1">(K59-L59)+(L72-K72)</f>
        <v>-4.3516244230324332</v>
      </c>
      <c r="M98" s="129">
        <f ca="1">(L59-M59)+(M72-L72)</f>
        <v>-0.92504551503822086</v>
      </c>
    </row>
    <row r="99" spans="3:13" x14ac:dyDescent="0.2">
      <c r="C99" s="97" t="s">
        <v>435</v>
      </c>
      <c r="H99" s="98"/>
      <c r="I99" s="216">
        <f>+I71-H71</f>
        <v>0</v>
      </c>
      <c r="J99" s="216">
        <f>+J71-I71</f>
        <v>0</v>
      </c>
      <c r="K99" s="216">
        <f>+K71-J71</f>
        <v>0</v>
      </c>
      <c r="L99" s="216">
        <f>+L71-K71</f>
        <v>0</v>
      </c>
      <c r="M99" s="217">
        <f>+M71-L71</f>
        <v>0</v>
      </c>
    </row>
    <row r="100" spans="3:13" x14ac:dyDescent="0.2">
      <c r="C100" s="97" t="s">
        <v>41</v>
      </c>
      <c r="H100" s="98"/>
      <c r="I100" s="216">
        <f>I60-H60</f>
        <v>0</v>
      </c>
      <c r="J100" s="216">
        <f>J60-I60</f>
        <v>0</v>
      </c>
      <c r="K100" s="216">
        <f>K60-J60</f>
        <v>0</v>
      </c>
      <c r="L100" s="216">
        <f>L60-K60</f>
        <v>0</v>
      </c>
      <c r="M100" s="217">
        <f>M60-L60</f>
        <v>0</v>
      </c>
    </row>
    <row r="101" spans="3:13" x14ac:dyDescent="0.2">
      <c r="C101" s="97" t="s">
        <v>68</v>
      </c>
      <c r="H101" s="98"/>
      <c r="I101" s="216">
        <f>I73-H73</f>
        <v>0</v>
      </c>
      <c r="J101" s="216">
        <f>J73-I73</f>
        <v>0</v>
      </c>
      <c r="K101" s="216">
        <f>K73-J73</f>
        <v>0</v>
      </c>
      <c r="L101" s="216">
        <f>L73-K73</f>
        <v>0</v>
      </c>
      <c r="M101" s="217">
        <f>M73-L73</f>
        <v>0</v>
      </c>
    </row>
    <row r="102" spans="3:13" x14ac:dyDescent="0.2">
      <c r="C102" s="100" t="s">
        <v>69</v>
      </c>
      <c r="H102" s="98"/>
      <c r="I102" s="152">
        <f ca="1">SUM(I93:I101)</f>
        <v>1189.1798637099077</v>
      </c>
      <c r="J102" s="152">
        <f ca="1">SUM(J93:J101)</f>
        <v>1027.3431084426418</v>
      </c>
      <c r="K102" s="152">
        <f ca="1">SUM(K93:K101)</f>
        <v>995.71060000110265</v>
      </c>
      <c r="L102" s="152">
        <f ca="1">SUM(L93:L101)</f>
        <v>1012.6106155117673</v>
      </c>
      <c r="M102" s="154">
        <f ca="1">SUM(M93:M101)</f>
        <v>1016.2220295446398</v>
      </c>
    </row>
    <row r="103" spans="3:13" x14ac:dyDescent="0.2">
      <c r="C103" s="97"/>
      <c r="H103" s="98"/>
      <c r="M103" s="99"/>
    </row>
    <row r="104" spans="3:13" x14ac:dyDescent="0.2">
      <c r="C104" s="97" t="s">
        <v>70</v>
      </c>
      <c r="H104" s="98"/>
      <c r="I104" s="128">
        <f>-I120</f>
        <v>-491.76</v>
      </c>
      <c r="J104" s="128">
        <f>-J120</f>
        <v>-671.6</v>
      </c>
      <c r="K104" s="128">
        <f>-K120</f>
        <v>-651</v>
      </c>
      <c r="L104" s="128">
        <f ca="1">-L120</f>
        <v>-659.19049005300542</v>
      </c>
      <c r="M104" s="129">
        <f ca="1">-M120</f>
        <v>-660.93158150598026</v>
      </c>
    </row>
    <row r="105" spans="3:13" x14ac:dyDescent="0.2">
      <c r="C105" s="97" t="s">
        <v>300</v>
      </c>
      <c r="H105" s="98"/>
      <c r="I105" s="128">
        <f ca="1">-I138</f>
        <v>-14.559255975045687</v>
      </c>
      <c r="J105" s="128">
        <f t="shared" ref="J105:M105" ca="1" si="61">-J138</f>
        <v>-4.2678151806713061</v>
      </c>
      <c r="K105" s="128">
        <f t="shared" ca="1" si="61"/>
        <v>-24.821332507513205</v>
      </c>
      <c r="L105" s="128">
        <f t="shared" ca="1" si="61"/>
        <v>-14.945327705151925</v>
      </c>
      <c r="M105" s="129">
        <f t="shared" ca="1" si="61"/>
        <v>-13.131142495211918</v>
      </c>
    </row>
    <row r="106" spans="3:13" x14ac:dyDescent="0.2">
      <c r="C106" s="100" t="s">
        <v>436</v>
      </c>
      <c r="H106" s="98"/>
      <c r="I106" s="152">
        <f ca="1">SUM(I104:I105)</f>
        <v>-506.31925597504568</v>
      </c>
      <c r="J106" s="152">
        <f t="shared" ref="J106:M106" ca="1" si="62">SUM(J104:J105)</f>
        <v>-675.8678151806713</v>
      </c>
      <c r="K106" s="152">
        <f t="shared" ca="1" si="62"/>
        <v>-675.82133250751326</v>
      </c>
      <c r="L106" s="152">
        <f t="shared" ca="1" si="62"/>
        <v>-674.13581775815737</v>
      </c>
      <c r="M106" s="154">
        <f t="shared" ca="1" si="62"/>
        <v>-674.06272400119224</v>
      </c>
    </row>
    <row r="107" spans="3:13" x14ac:dyDescent="0.2">
      <c r="C107" s="97"/>
      <c r="H107" s="98"/>
      <c r="M107" s="99"/>
    </row>
    <row r="108" spans="3:13" x14ac:dyDescent="0.2">
      <c r="C108" s="97" t="s">
        <v>416</v>
      </c>
      <c r="H108" s="98"/>
      <c r="I108" s="128">
        <f>(I64-H64)+(I70-H70)</f>
        <v>0</v>
      </c>
      <c r="J108" s="128">
        <f>(J64-I64)+(J70-I70)</f>
        <v>0</v>
      </c>
      <c r="K108" s="128">
        <f>(K64-J64)+(K70-J70)</f>
        <v>0</v>
      </c>
      <c r="L108" s="128">
        <f>(L64-K64)+(L70-K70)</f>
        <v>0</v>
      </c>
      <c r="M108" s="129">
        <f>(M64-L64)+(M70-L70)</f>
        <v>0</v>
      </c>
    </row>
    <row r="109" spans="3:13" x14ac:dyDescent="0.2">
      <c r="C109" s="97" t="s">
        <v>303</v>
      </c>
      <c r="H109" s="98"/>
      <c r="I109" s="216">
        <f>0</f>
        <v>0</v>
      </c>
      <c r="J109" s="216">
        <f>0</f>
        <v>0</v>
      </c>
      <c r="K109" s="216">
        <f>0</f>
        <v>0</v>
      </c>
      <c r="L109" s="216">
        <f>0</f>
        <v>0</v>
      </c>
      <c r="M109" s="217">
        <f>0</f>
        <v>0</v>
      </c>
    </row>
    <row r="110" spans="3:13" x14ac:dyDescent="0.2">
      <c r="C110" s="97" t="s">
        <v>415</v>
      </c>
      <c r="H110" s="98"/>
      <c r="I110" s="128">
        <f ca="1">I82-H82</f>
        <v>164.95189194096247</v>
      </c>
      <c r="J110" s="128">
        <f ca="1">J82-I82</f>
        <v>152.66502577379651</v>
      </c>
      <c r="K110" s="128">
        <f ca="1">K82-J82</f>
        <v>173.36170574944526</v>
      </c>
      <c r="L110" s="128">
        <f ca="1">L82-K82</f>
        <v>177.28445006405354</v>
      </c>
      <c r="M110" s="129">
        <f ca="1">M82-L82</f>
        <v>178.11832649320013</v>
      </c>
    </row>
    <row r="111" spans="3:13" x14ac:dyDescent="0.2">
      <c r="C111" s="100" t="s">
        <v>437</v>
      </c>
      <c r="H111" s="98"/>
      <c r="I111" s="152">
        <f ca="1">SUM(I108:I110)</f>
        <v>164.95189194096247</v>
      </c>
      <c r="J111" s="152">
        <f ca="1">SUM(J108:J110)</f>
        <v>152.66502577379651</v>
      </c>
      <c r="K111" s="152">
        <f ca="1">SUM(K108:K110)</f>
        <v>173.36170574944526</v>
      </c>
      <c r="L111" s="152">
        <f ca="1">SUM(L108:L110)</f>
        <v>177.28445006405354</v>
      </c>
      <c r="M111" s="154">
        <f ca="1">SUM(M108:M110)</f>
        <v>178.11832649320013</v>
      </c>
    </row>
    <row r="112" spans="3:13" x14ac:dyDescent="0.2">
      <c r="C112" s="100"/>
      <c r="H112" s="98"/>
      <c r="I112" s="152"/>
      <c r="J112" s="152"/>
      <c r="K112" s="152"/>
      <c r="L112" s="152"/>
      <c r="M112" s="154"/>
    </row>
    <row r="113" spans="2:19" ht="17" thickBot="1" x14ac:dyDescent="0.25">
      <c r="C113" s="141" t="s">
        <v>301</v>
      </c>
      <c r="D113" s="62"/>
      <c r="E113" s="62"/>
      <c r="F113" s="62"/>
      <c r="G113" s="62"/>
      <c r="H113" s="115"/>
      <c r="I113" s="170">
        <f ca="1">I102+I106+I111</f>
        <v>847.81249967582448</v>
      </c>
      <c r="J113" s="170">
        <f ca="1">J102+J106+J111</f>
        <v>504.14031903576699</v>
      </c>
      <c r="K113" s="170">
        <f ca="1">K102+K106+K111</f>
        <v>493.25097324303465</v>
      </c>
      <c r="L113" s="170">
        <f ca="1">L102+L106+L111</f>
        <v>515.75924781766344</v>
      </c>
      <c r="M113" s="172">
        <f ca="1">M102+M106+M111</f>
        <v>520.27763203664767</v>
      </c>
    </row>
    <row r="115" spans="2:19" ht="17" thickBot="1" x14ac:dyDescent="0.25">
      <c r="B115" s="57" t="s">
        <v>0</v>
      </c>
      <c r="C115" s="62" t="s">
        <v>275</v>
      </c>
      <c r="D115" s="62"/>
      <c r="E115" s="173"/>
      <c r="F115" s="173"/>
      <c r="G115" s="173"/>
      <c r="H115" s="173"/>
      <c r="I115" s="173"/>
      <c r="J115" s="173"/>
      <c r="K115" s="173"/>
      <c r="L115" s="173"/>
      <c r="M115" s="173"/>
    </row>
    <row r="116" spans="2:19" ht="17" thickBot="1" x14ac:dyDescent="0.25">
      <c r="E116" s="174"/>
      <c r="F116" s="174"/>
      <c r="G116" s="174"/>
      <c r="H116" s="174"/>
      <c r="I116" s="174"/>
      <c r="J116" s="174"/>
      <c r="K116" s="174"/>
      <c r="L116" s="174"/>
      <c r="M116" s="174"/>
    </row>
    <row r="117" spans="2:19" x14ac:dyDescent="0.2">
      <c r="C117" s="65" t="s">
        <v>9</v>
      </c>
      <c r="D117" s="66">
        <f>$D$48</f>
        <v>2017</v>
      </c>
      <c r="E117" s="66">
        <f>$E$48</f>
        <v>2018</v>
      </c>
      <c r="F117" s="66">
        <f>$F$48</f>
        <v>2019</v>
      </c>
      <c r="G117" s="66">
        <f>$G$48</f>
        <v>2020</v>
      </c>
      <c r="H117" s="66">
        <f>$H$48</f>
        <v>2021</v>
      </c>
      <c r="I117" s="68">
        <f>$I$25</f>
        <v>2022</v>
      </c>
      <c r="J117" s="68">
        <f>$J$25</f>
        <v>2023</v>
      </c>
      <c r="K117" s="68">
        <f>$K$25</f>
        <v>2024</v>
      </c>
      <c r="L117" s="68">
        <f>$L$25</f>
        <v>2025</v>
      </c>
      <c r="M117" s="69">
        <f>$M$25</f>
        <v>2026</v>
      </c>
      <c r="O117" s="158"/>
      <c r="P117" s="158"/>
      <c r="Q117" s="158"/>
      <c r="R117" s="158"/>
      <c r="S117" s="158"/>
    </row>
    <row r="118" spans="2:19" ht="17" thickBot="1" x14ac:dyDescent="0.25">
      <c r="C118" s="70" t="s">
        <v>8</v>
      </c>
      <c r="D118" s="71">
        <f>$D$26</f>
        <v>43100</v>
      </c>
      <c r="E118" s="71">
        <f>$E$26</f>
        <v>43465</v>
      </c>
      <c r="F118" s="71">
        <f>$F$26</f>
        <v>43830</v>
      </c>
      <c r="G118" s="71">
        <f>$G$26</f>
        <v>44196</v>
      </c>
      <c r="H118" s="71">
        <f>$H$26</f>
        <v>44561</v>
      </c>
      <c r="I118" s="71">
        <f>$I$26</f>
        <v>44926</v>
      </c>
      <c r="J118" s="71">
        <f>$J$26</f>
        <v>45291</v>
      </c>
      <c r="K118" s="71">
        <f>$K$26</f>
        <v>45657</v>
      </c>
      <c r="L118" s="71">
        <f>$L$26</f>
        <v>46022</v>
      </c>
      <c r="M118" s="73">
        <f>$M$26</f>
        <v>46387</v>
      </c>
    </row>
    <row r="119" spans="2:19" x14ac:dyDescent="0.2">
      <c r="C119" s="74" t="s">
        <v>272</v>
      </c>
      <c r="D119" s="75"/>
      <c r="E119" s="75"/>
      <c r="F119" s="75"/>
      <c r="G119" s="348"/>
      <c r="H119" s="349"/>
      <c r="I119" s="348">
        <f>+H122</f>
        <v>6623</v>
      </c>
      <c r="J119" s="348">
        <f>+I122</f>
        <v>6508.01</v>
      </c>
      <c r="K119" s="348">
        <f>+J122</f>
        <v>6605.8600000000006</v>
      </c>
      <c r="L119" s="348">
        <f>+K122</f>
        <v>6776.8600000000006</v>
      </c>
      <c r="M119" s="350">
        <f ca="1">+L122</f>
        <v>6950.0114190461818</v>
      </c>
    </row>
    <row r="120" spans="2:19" x14ac:dyDescent="0.2">
      <c r="C120" s="218" t="s">
        <v>273</v>
      </c>
      <c r="D120" s="155">
        <f>-'CFS - FS'!B29</f>
        <v>405</v>
      </c>
      <c r="E120" s="155">
        <f>-'CFS - FS'!C29</f>
        <v>399</v>
      </c>
      <c r="F120" s="155">
        <f>-'CFS - FS'!D29</f>
        <v>379</v>
      </c>
      <c r="G120" s="155">
        <f>-'CFS - FS'!E29</f>
        <v>353</v>
      </c>
      <c r="H120" s="156">
        <f>-'CFS - FS'!F29</f>
        <v>390</v>
      </c>
      <c r="I120" s="131">
        <v>491.76</v>
      </c>
      <c r="J120" s="131">
        <v>671.6</v>
      </c>
      <c r="K120" s="131">
        <v>651</v>
      </c>
      <c r="L120" s="128">
        <f ca="1">($K$120/$K$27)*L27</f>
        <v>659.19049005300542</v>
      </c>
      <c r="M120" s="129">
        <f ca="1">($K$120/$K$27)*M27</f>
        <v>660.93158150598026</v>
      </c>
      <c r="N120" s="57" t="s">
        <v>417</v>
      </c>
    </row>
    <row r="121" spans="2:19" x14ac:dyDescent="0.2">
      <c r="C121" s="218" t="s">
        <v>438</v>
      </c>
      <c r="D121" s="128">
        <f>-+'CFS - FS'!B14</f>
        <v>-738</v>
      </c>
      <c r="E121" s="128">
        <f>-+'CFS - FS'!C14</f>
        <v>-721</v>
      </c>
      <c r="F121" s="128">
        <f>-+'CFS - FS'!D14</f>
        <v>-694</v>
      </c>
      <c r="G121" s="128">
        <f>-+'CFS - FS'!E14</f>
        <v>-644</v>
      </c>
      <c r="H121" s="219">
        <f>-+'CFS - FS'!F14</f>
        <v>-653</v>
      </c>
      <c r="I121" s="131">
        <v>-606.75</v>
      </c>
      <c r="J121" s="131">
        <v>-573.75</v>
      </c>
      <c r="K121" s="131">
        <v>-480</v>
      </c>
      <c r="L121" s="128">
        <f ca="1">(K121/K27)*L27</f>
        <v>-486.03907100682432</v>
      </c>
      <c r="M121" s="129">
        <f ca="1">(L121/L27)*M27</f>
        <v>-487.32282507353392</v>
      </c>
      <c r="N121" s="57" t="s">
        <v>417</v>
      </c>
    </row>
    <row r="122" spans="2:19" ht="17" thickBot="1" x14ac:dyDescent="0.25">
      <c r="C122" s="433" t="s">
        <v>274</v>
      </c>
      <c r="D122" s="234">
        <f>+D56</f>
        <v>9138</v>
      </c>
      <c r="E122" s="234">
        <f>+E56</f>
        <v>8327</v>
      </c>
      <c r="F122" s="234">
        <f>+F56</f>
        <v>7916</v>
      </c>
      <c r="G122" s="234">
        <f>+G56</f>
        <v>7190</v>
      </c>
      <c r="H122" s="235">
        <f>+H56</f>
        <v>6623</v>
      </c>
      <c r="I122" s="234">
        <f>+SUM(I119:I121)</f>
        <v>6508.01</v>
      </c>
      <c r="J122" s="234">
        <f>+SUM(J119:J121)</f>
        <v>6605.8600000000006</v>
      </c>
      <c r="K122" s="234">
        <f>+SUM(K119:K121)</f>
        <v>6776.8600000000006</v>
      </c>
      <c r="L122" s="234">
        <f ca="1">+SUM(L119:L121)</f>
        <v>6950.0114190461818</v>
      </c>
      <c r="M122" s="236">
        <f ca="1">+SUM(M119:M121)</f>
        <v>7123.620175478628</v>
      </c>
    </row>
    <row r="123" spans="2:19" x14ac:dyDescent="0.2">
      <c r="D123" s="158"/>
      <c r="E123" s="158"/>
      <c r="F123" s="158"/>
      <c r="G123" s="158"/>
      <c r="H123" s="158"/>
      <c r="I123" s="282"/>
      <c r="J123" s="282"/>
      <c r="K123" s="282"/>
      <c r="L123" s="282"/>
      <c r="M123" s="282"/>
    </row>
    <row r="124" spans="2:19" ht="17" thickBot="1" x14ac:dyDescent="0.25">
      <c r="B124" s="57" t="s">
        <v>0</v>
      </c>
      <c r="C124" s="62" t="s">
        <v>299</v>
      </c>
      <c r="D124" s="62"/>
      <c r="E124" s="173"/>
      <c r="F124" s="173"/>
      <c r="G124" s="173"/>
      <c r="H124" s="173"/>
      <c r="I124" s="173"/>
      <c r="J124" s="173"/>
      <c r="K124" s="173"/>
      <c r="L124" s="173"/>
      <c r="M124" s="173"/>
    </row>
    <row r="125" spans="2:19" ht="17" thickBot="1" x14ac:dyDescent="0.25">
      <c r="E125" s="174"/>
      <c r="F125" s="174"/>
      <c r="G125" s="174"/>
      <c r="H125" s="174"/>
      <c r="I125" s="174"/>
      <c r="J125" s="174"/>
      <c r="K125" s="174"/>
      <c r="L125" s="174"/>
      <c r="M125" s="174"/>
    </row>
    <row r="126" spans="2:19" x14ac:dyDescent="0.2">
      <c r="C126" s="65" t="s">
        <v>9</v>
      </c>
      <c r="D126" s="66">
        <f>$D$48</f>
        <v>2017</v>
      </c>
      <c r="E126" s="66">
        <f>$E$48</f>
        <v>2018</v>
      </c>
      <c r="F126" s="66">
        <f>$F$48</f>
        <v>2019</v>
      </c>
      <c r="G126" s="66">
        <f>$G$48</f>
        <v>2020</v>
      </c>
      <c r="H126" s="66">
        <f>$H$48</f>
        <v>2021</v>
      </c>
      <c r="I126" s="68">
        <f>$I$25</f>
        <v>2022</v>
      </c>
      <c r="J126" s="68">
        <f>$J$25</f>
        <v>2023</v>
      </c>
      <c r="K126" s="68">
        <f>$K$25</f>
        <v>2024</v>
      </c>
      <c r="L126" s="68">
        <f>$L$25</f>
        <v>2025</v>
      </c>
      <c r="M126" s="69">
        <f>$M$25</f>
        <v>2026</v>
      </c>
    </row>
    <row r="127" spans="2:19" x14ac:dyDescent="0.2">
      <c r="C127" s="70" t="s">
        <v>8</v>
      </c>
      <c r="D127" s="71">
        <f>$D$26</f>
        <v>43100</v>
      </c>
      <c r="E127" s="71">
        <f>$E$26</f>
        <v>43465</v>
      </c>
      <c r="F127" s="71">
        <f>$F$26</f>
        <v>43830</v>
      </c>
      <c r="G127" s="71">
        <f>$G$26</f>
        <v>44196</v>
      </c>
      <c r="H127" s="71">
        <f>$H$26</f>
        <v>44561</v>
      </c>
      <c r="I127" s="71">
        <f>$I$26</f>
        <v>44926</v>
      </c>
      <c r="J127" s="71">
        <f>$J$26</f>
        <v>45291</v>
      </c>
      <c r="K127" s="71">
        <f>$K$26</f>
        <v>45657</v>
      </c>
      <c r="L127" s="71">
        <f>$L$26</f>
        <v>46022</v>
      </c>
      <c r="M127" s="73">
        <f>$M$26</f>
        <v>46387</v>
      </c>
    </row>
    <row r="128" spans="2:19" x14ac:dyDescent="0.2">
      <c r="C128" s="97" t="s">
        <v>298</v>
      </c>
      <c r="D128" s="57">
        <f>'CFS - FS'!B15</f>
        <v>12</v>
      </c>
      <c r="E128" s="57">
        <f>'CFS - FS'!C15</f>
        <v>12</v>
      </c>
      <c r="F128" s="57">
        <f>'CFS - FS'!D15</f>
        <v>19</v>
      </c>
      <c r="G128" s="57">
        <f>'CFS - FS'!E15</f>
        <v>9</v>
      </c>
      <c r="H128" s="98">
        <f>'CFS - FS'!F15</f>
        <v>11</v>
      </c>
      <c r="I128" s="168">
        <f ca="1">I129*I27</f>
        <v>12.10696504766068</v>
      </c>
      <c r="J128" s="168">
        <f ca="1">J129*J27</f>
        <v>11.616632963230421</v>
      </c>
      <c r="K128" s="168">
        <f ca="1">K129*K27</f>
        <v>12.442575566916103</v>
      </c>
      <c r="L128" s="168">
        <f ca="1">L129*L27</f>
        <v>12.599120561408569</v>
      </c>
      <c r="M128" s="169">
        <f ca="1">M129*M27</f>
        <v>12.632398075959339</v>
      </c>
      <c r="Q128" s="131"/>
      <c r="R128" s="131"/>
      <c r="S128" s="131"/>
    </row>
    <row r="129" spans="2:19" x14ac:dyDescent="0.2">
      <c r="C129" s="221" t="s">
        <v>295</v>
      </c>
      <c r="D129" s="222">
        <f>D128/D27</f>
        <v>1.0186757215619694E-3</v>
      </c>
      <c r="E129" s="222">
        <f>E128/E27</f>
        <v>8.8777095509358589E-4</v>
      </c>
      <c r="F129" s="222">
        <f>F128/F27</f>
        <v>1.810385898046689E-3</v>
      </c>
      <c r="G129" s="222">
        <f>G128/G27</f>
        <v>9.6030729833546731E-4</v>
      </c>
      <c r="H129" s="223">
        <f>H128/H27</f>
        <v>8.844576666398649E-4</v>
      </c>
      <c r="I129" s="224">
        <f>MEDIAN(D129:H129)</f>
        <v>9.6030729833546731E-4</v>
      </c>
      <c r="J129" s="224">
        <f>I129</f>
        <v>9.6030729833546731E-4</v>
      </c>
      <c r="K129" s="224">
        <f t="shared" ref="K129:M129" si="63">J129</f>
        <v>9.6030729833546731E-4</v>
      </c>
      <c r="L129" s="224">
        <f t="shared" si="63"/>
        <v>9.6030729833546731E-4</v>
      </c>
      <c r="M129" s="225">
        <f t="shared" si="63"/>
        <v>9.6030729833546731E-4</v>
      </c>
    </row>
    <row r="130" spans="2:19" ht="17" thickBot="1" x14ac:dyDescent="0.25">
      <c r="C130" s="141" t="s">
        <v>299</v>
      </c>
      <c r="D130" s="170">
        <f t="shared" ref="D130:M130" si="64">-D121+D128</f>
        <v>750</v>
      </c>
      <c r="E130" s="170">
        <f t="shared" si="64"/>
        <v>733</v>
      </c>
      <c r="F130" s="170">
        <f t="shared" si="64"/>
        <v>713</v>
      </c>
      <c r="G130" s="170">
        <f t="shared" si="64"/>
        <v>653</v>
      </c>
      <c r="H130" s="171">
        <f t="shared" si="64"/>
        <v>664</v>
      </c>
      <c r="I130" s="170">
        <f t="shared" ca="1" si="64"/>
        <v>618.85696504766065</v>
      </c>
      <c r="J130" s="170">
        <f t="shared" ca="1" si="64"/>
        <v>585.36663296323047</v>
      </c>
      <c r="K130" s="170">
        <f t="shared" ca="1" si="64"/>
        <v>492.4425755669161</v>
      </c>
      <c r="L130" s="170">
        <f t="shared" ca="1" si="64"/>
        <v>498.63819156823286</v>
      </c>
      <c r="M130" s="172">
        <f t="shared" ca="1" si="64"/>
        <v>499.95522314949324</v>
      </c>
    </row>
    <row r="132" spans="2:19" ht="17" thickBot="1" x14ac:dyDescent="0.25">
      <c r="B132" s="57" t="s">
        <v>0</v>
      </c>
      <c r="C132" s="62" t="s">
        <v>258</v>
      </c>
      <c r="D132" s="62"/>
      <c r="E132" s="173"/>
      <c r="F132" s="173"/>
      <c r="G132" s="173"/>
      <c r="H132" s="173"/>
      <c r="I132" s="173"/>
      <c r="J132" s="173"/>
      <c r="K132" s="173"/>
      <c r="L132" s="173"/>
      <c r="M132" s="173"/>
    </row>
    <row r="133" spans="2:19" ht="17" thickBot="1" x14ac:dyDescent="0.25">
      <c r="E133" s="174"/>
      <c r="F133" s="174"/>
      <c r="G133" s="174"/>
      <c r="H133" s="174"/>
      <c r="I133" s="174"/>
      <c r="J133" s="174"/>
      <c r="K133" s="174"/>
      <c r="L133" s="174"/>
      <c r="M133" s="174"/>
    </row>
    <row r="134" spans="2:19" x14ac:dyDescent="0.2">
      <c r="C134" s="65" t="s">
        <v>9</v>
      </c>
      <c r="D134" s="66">
        <f>$D$48</f>
        <v>2017</v>
      </c>
      <c r="E134" s="66">
        <f>$E$48</f>
        <v>2018</v>
      </c>
      <c r="F134" s="66">
        <f>$F$48</f>
        <v>2019</v>
      </c>
      <c r="G134" s="66">
        <f>$G$48</f>
        <v>2020</v>
      </c>
      <c r="H134" s="66">
        <f>$H$48</f>
        <v>2021</v>
      </c>
      <c r="I134" s="68">
        <f>$I$25</f>
        <v>2022</v>
      </c>
      <c r="J134" s="68">
        <f>$J$25</f>
        <v>2023</v>
      </c>
      <c r="K134" s="68">
        <f>$K$25</f>
        <v>2024</v>
      </c>
      <c r="L134" s="68">
        <f>$L$25</f>
        <v>2025</v>
      </c>
      <c r="M134" s="69">
        <f>$M$25</f>
        <v>2026</v>
      </c>
    </row>
    <row r="135" spans="2:19" x14ac:dyDescent="0.2">
      <c r="C135" s="70" t="s">
        <v>8</v>
      </c>
      <c r="D135" s="71">
        <f>$D$26</f>
        <v>43100</v>
      </c>
      <c r="E135" s="71">
        <f>$E$26</f>
        <v>43465</v>
      </c>
      <c r="F135" s="71">
        <f>$F$26</f>
        <v>43830</v>
      </c>
      <c r="G135" s="71">
        <f>$G$26</f>
        <v>44196</v>
      </c>
      <c r="H135" s="71">
        <f>$H$26</f>
        <v>44561</v>
      </c>
      <c r="I135" s="71">
        <f>$I$26</f>
        <v>44926</v>
      </c>
      <c r="J135" s="71">
        <f>$J$26</f>
        <v>45291</v>
      </c>
      <c r="K135" s="71">
        <f>$K$26</f>
        <v>45657</v>
      </c>
      <c r="L135" s="71">
        <f>$L$26</f>
        <v>46022</v>
      </c>
      <c r="M135" s="73">
        <f>$M$26</f>
        <v>46387</v>
      </c>
    </row>
    <row r="136" spans="2:19" x14ac:dyDescent="0.2">
      <c r="C136" s="97" t="s">
        <v>272</v>
      </c>
      <c r="D136" s="226"/>
      <c r="E136" s="226"/>
      <c r="F136" s="226"/>
      <c r="G136" s="226"/>
      <c r="H136" s="227"/>
      <c r="I136" s="228">
        <f>H139</f>
        <v>179</v>
      </c>
      <c r="J136" s="228">
        <f t="shared" ref="J136:M136" ca="1" si="65">I139</f>
        <v>181.45229092738501</v>
      </c>
      <c r="K136" s="228">
        <f t="shared" ca="1" si="65"/>
        <v>174.1034731448259</v>
      </c>
      <c r="L136" s="228">
        <f t="shared" ca="1" si="65"/>
        <v>186.482230085423</v>
      </c>
      <c r="M136" s="229">
        <f t="shared" ca="1" si="65"/>
        <v>188.82843722916635</v>
      </c>
    </row>
    <row r="137" spans="2:19" x14ac:dyDescent="0.2">
      <c r="C137" s="218" t="s">
        <v>297</v>
      </c>
      <c r="D137" s="230">
        <f t="shared" ref="D137:M137" si="66">-D128</f>
        <v>-12</v>
      </c>
      <c r="E137" s="230">
        <f t="shared" si="66"/>
        <v>-12</v>
      </c>
      <c r="F137" s="230">
        <f t="shared" si="66"/>
        <v>-19</v>
      </c>
      <c r="G137" s="230">
        <f t="shared" si="66"/>
        <v>-9</v>
      </c>
      <c r="H137" s="231">
        <f t="shared" si="66"/>
        <v>-11</v>
      </c>
      <c r="I137" s="230">
        <f ca="1">-I128</f>
        <v>-12.10696504766068</v>
      </c>
      <c r="J137" s="230">
        <f t="shared" ca="1" si="66"/>
        <v>-11.616632963230421</v>
      </c>
      <c r="K137" s="230">
        <f t="shared" ca="1" si="66"/>
        <v>-12.442575566916103</v>
      </c>
      <c r="L137" s="230">
        <f t="shared" ca="1" si="66"/>
        <v>-12.599120561408569</v>
      </c>
      <c r="M137" s="232">
        <f t="shared" ca="1" si="66"/>
        <v>-12.632398075959339</v>
      </c>
      <c r="O137" s="233"/>
      <c r="P137" s="233"/>
      <c r="Q137" s="233"/>
      <c r="R137" s="233"/>
      <c r="S137" s="233"/>
    </row>
    <row r="138" spans="2:19" x14ac:dyDescent="0.2">
      <c r="C138" s="218" t="s">
        <v>296</v>
      </c>
      <c r="D138" s="230"/>
      <c r="E138" s="230"/>
      <c r="F138" s="230"/>
      <c r="G138" s="230"/>
      <c r="H138" s="231"/>
      <c r="I138" s="228">
        <f ca="1">I139-(SUM(I136:I137))</f>
        <v>14.559255975045687</v>
      </c>
      <c r="J138" s="228">
        <f t="shared" ref="J138:M138" ca="1" si="67">J139-(SUM(J136:J137))</f>
        <v>4.2678151806713061</v>
      </c>
      <c r="K138" s="228">
        <f t="shared" ca="1" si="67"/>
        <v>24.821332507513205</v>
      </c>
      <c r="L138" s="228">
        <f t="shared" ca="1" si="67"/>
        <v>14.945327705151925</v>
      </c>
      <c r="M138" s="229">
        <f t="shared" ca="1" si="67"/>
        <v>13.131142495211918</v>
      </c>
    </row>
    <row r="139" spans="2:19" ht="17" thickBot="1" x14ac:dyDescent="0.25">
      <c r="C139" s="433" t="s">
        <v>274</v>
      </c>
      <c r="D139" s="234">
        <f t="shared" ref="D139:M139" si="68">+D58</f>
        <v>216</v>
      </c>
      <c r="E139" s="234">
        <f t="shared" si="68"/>
        <v>208</v>
      </c>
      <c r="F139" s="234">
        <f t="shared" si="68"/>
        <v>202</v>
      </c>
      <c r="G139" s="234">
        <f t="shared" si="68"/>
        <v>190</v>
      </c>
      <c r="H139" s="235">
        <f t="shared" si="68"/>
        <v>179</v>
      </c>
      <c r="I139" s="234">
        <f t="shared" ca="1" si="68"/>
        <v>181.45229092738501</v>
      </c>
      <c r="J139" s="234">
        <f t="shared" ca="1" si="68"/>
        <v>174.1034731448259</v>
      </c>
      <c r="K139" s="234">
        <f t="shared" ca="1" si="68"/>
        <v>186.482230085423</v>
      </c>
      <c r="L139" s="234">
        <f t="shared" ca="1" si="68"/>
        <v>188.82843722916635</v>
      </c>
      <c r="M139" s="236">
        <f t="shared" ca="1" si="68"/>
        <v>189.32718164841893</v>
      </c>
    </row>
    <row r="140" spans="2:19" x14ac:dyDescent="0.2">
      <c r="C140" s="237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</row>
    <row r="141" spans="2:19" ht="17" thickBot="1" x14ac:dyDescent="0.25">
      <c r="B141" s="57" t="s">
        <v>0</v>
      </c>
      <c r="C141" s="62" t="s">
        <v>305</v>
      </c>
      <c r="D141" s="62"/>
      <c r="E141" s="173"/>
      <c r="F141" s="173"/>
      <c r="G141" s="173"/>
      <c r="H141" s="173"/>
      <c r="I141" s="173"/>
      <c r="J141" s="173"/>
      <c r="K141" s="173"/>
      <c r="L141" s="173"/>
      <c r="M141" s="173"/>
    </row>
    <row r="142" spans="2:19" ht="17" thickBot="1" x14ac:dyDescent="0.25">
      <c r="C142" s="59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</row>
    <row r="143" spans="2:19" x14ac:dyDescent="0.2">
      <c r="B143" s="240"/>
      <c r="C143" s="65" t="s">
        <v>9</v>
      </c>
      <c r="D143" s="66">
        <f>$D$48</f>
        <v>2017</v>
      </c>
      <c r="E143" s="66">
        <f>$E$48</f>
        <v>2018</v>
      </c>
      <c r="F143" s="66">
        <f>$F$48</f>
        <v>2019</v>
      </c>
      <c r="G143" s="66">
        <f>$G$48</f>
        <v>2020</v>
      </c>
      <c r="H143" s="67">
        <f>$H$48</f>
        <v>2021</v>
      </c>
      <c r="I143" s="68">
        <f>$I$25</f>
        <v>2022</v>
      </c>
      <c r="J143" s="68">
        <f>$J$25</f>
        <v>2023</v>
      </c>
      <c r="K143" s="68">
        <f>$K$25</f>
        <v>2024</v>
      </c>
      <c r="L143" s="68">
        <f>$L$25</f>
        <v>2025</v>
      </c>
      <c r="M143" s="69">
        <f>$M$25</f>
        <v>2026</v>
      </c>
      <c r="N143" s="240"/>
      <c r="O143" s="240"/>
    </row>
    <row r="144" spans="2:19" x14ac:dyDescent="0.2">
      <c r="B144" s="240"/>
      <c r="C144" s="70" t="s">
        <v>8</v>
      </c>
      <c r="D144" s="71">
        <f>$D$26</f>
        <v>43100</v>
      </c>
      <c r="E144" s="71">
        <f>$E$26</f>
        <v>43465</v>
      </c>
      <c r="F144" s="71">
        <f>$F$26</f>
        <v>43830</v>
      </c>
      <c r="G144" s="71">
        <f>$G$26</f>
        <v>44196</v>
      </c>
      <c r="H144" s="72">
        <f>$H$26</f>
        <v>44561</v>
      </c>
      <c r="I144" s="71">
        <f>$I$26</f>
        <v>44926</v>
      </c>
      <c r="J144" s="71">
        <f>$J$26</f>
        <v>45291</v>
      </c>
      <c r="K144" s="71">
        <f>$K$26</f>
        <v>45657</v>
      </c>
      <c r="L144" s="71">
        <f>$L$26</f>
        <v>46022</v>
      </c>
      <c r="M144" s="73">
        <f>$M$26</f>
        <v>46387</v>
      </c>
      <c r="N144" s="240"/>
      <c r="O144" s="240"/>
    </row>
    <row r="145" spans="2:15" x14ac:dyDescent="0.2">
      <c r="B145" s="240"/>
      <c r="C145" s="387" t="s">
        <v>429</v>
      </c>
      <c r="D145" s="241">
        <f>D52</f>
        <v>1043</v>
      </c>
      <c r="E145" s="241">
        <f t="shared" ref="E145:H145" si="69">E52</f>
        <v>1003</v>
      </c>
      <c r="F145" s="241">
        <f t="shared" si="69"/>
        <v>660</v>
      </c>
      <c r="G145" s="241">
        <f t="shared" si="69"/>
        <v>556</v>
      </c>
      <c r="H145" s="398">
        <f t="shared" si="69"/>
        <v>884</v>
      </c>
      <c r="I145" s="241">
        <f ca="1">(I146/365)*I27</f>
        <v>896.1107551944599</v>
      </c>
      <c r="J145" s="241">
        <f t="shared" ref="J145:M145" ca="1" si="70">(J146/365)*J27</f>
        <v>859.81826960908427</v>
      </c>
      <c r="K145" s="241">
        <f t="shared" ca="1" si="70"/>
        <v>920.95134857829009</v>
      </c>
      <c r="L145" s="241">
        <f t="shared" ca="1" si="70"/>
        <v>932.53820396973765</v>
      </c>
      <c r="M145" s="388">
        <f t="shared" ca="1" si="70"/>
        <v>935.00127696761081</v>
      </c>
      <c r="N145" s="240"/>
      <c r="O145" s="240"/>
    </row>
    <row r="146" spans="2:15" x14ac:dyDescent="0.2">
      <c r="B146" s="240"/>
      <c r="C146" s="389" t="s">
        <v>426</v>
      </c>
      <c r="D146" s="241">
        <f t="shared" ref="D146:H146" si="71">(D145/D27)*365</f>
        <v>32.317062818336161</v>
      </c>
      <c r="E146" s="241">
        <f t="shared" si="71"/>
        <v>27.08404231708219</v>
      </c>
      <c r="F146" s="241">
        <f t="shared" si="71"/>
        <v>22.953787517865653</v>
      </c>
      <c r="G146" s="241">
        <f t="shared" si="71"/>
        <v>21.653862569355528</v>
      </c>
      <c r="H146" s="398">
        <f t="shared" si="71"/>
        <v>25.943555519819888</v>
      </c>
      <c r="I146" s="241">
        <f>MEDIAN(D146:H146)</f>
        <v>25.943555519819888</v>
      </c>
      <c r="J146" s="241">
        <f>I146</f>
        <v>25.943555519819888</v>
      </c>
      <c r="K146" s="241">
        <f t="shared" ref="K146:M146" si="72">J146</f>
        <v>25.943555519819888</v>
      </c>
      <c r="L146" s="241">
        <f t="shared" si="72"/>
        <v>25.943555519819888</v>
      </c>
      <c r="M146" s="388">
        <f t="shared" si="72"/>
        <v>25.943555519819888</v>
      </c>
      <c r="N146" s="240"/>
      <c r="O146" s="240"/>
    </row>
    <row r="147" spans="2:15" x14ac:dyDescent="0.2">
      <c r="B147" s="240"/>
      <c r="C147" s="387" t="s">
        <v>24</v>
      </c>
      <c r="D147" s="241">
        <f>D53</f>
        <v>1453</v>
      </c>
      <c r="E147" s="241">
        <f t="shared" ref="E147:H147" si="73">E53</f>
        <v>1819</v>
      </c>
      <c r="F147" s="241">
        <f t="shared" si="73"/>
        <v>1644</v>
      </c>
      <c r="G147" s="241">
        <f t="shared" si="73"/>
        <v>1398</v>
      </c>
      <c r="H147" s="398">
        <f t="shared" si="73"/>
        <v>1956</v>
      </c>
      <c r="I147" s="241">
        <f ca="1">(I148/365)*-I28</f>
        <v>1789.2989321446978</v>
      </c>
      <c r="J147" s="241">
        <f t="shared" ref="J147:M147" ca="1" si="74">(J148/365)*-J28</f>
        <v>1716.8323253928374</v>
      </c>
      <c r="K147" s="241">
        <f t="shared" ca="1" si="74"/>
        <v>1838.8991037282681</v>
      </c>
      <c r="L147" s="241">
        <f t="shared" ca="1" si="74"/>
        <v>1862.0350251070192</v>
      </c>
      <c r="M147" s="388">
        <f t="shared" ca="1" si="74"/>
        <v>1866.9531380292688</v>
      </c>
      <c r="N147" s="240"/>
      <c r="O147" s="240"/>
    </row>
    <row r="148" spans="2:15" x14ac:dyDescent="0.2">
      <c r="B148" s="240"/>
      <c r="C148" s="389" t="s">
        <v>427</v>
      </c>
      <c r="D148" s="241">
        <f t="shared" ref="D148:H148" si="75">-(D147/D28)*365</f>
        <v>54.338627049180332</v>
      </c>
      <c r="E148" s="241">
        <f t="shared" si="75"/>
        <v>61.344821214081129</v>
      </c>
      <c r="F148" s="241">
        <f t="shared" si="75"/>
        <v>64.571182610567092</v>
      </c>
      <c r="G148" s="241">
        <f t="shared" si="75"/>
        <v>59.285465318926455</v>
      </c>
      <c r="H148" s="398">
        <f t="shared" si="75"/>
        <v>72.739684156902698</v>
      </c>
      <c r="I148" s="241">
        <f>MEDIAN(D148:H148)</f>
        <v>61.344821214081129</v>
      </c>
      <c r="J148" s="241">
        <f>I148</f>
        <v>61.344821214081129</v>
      </c>
      <c r="K148" s="241">
        <f t="shared" ref="K148:M148" si="76">J148</f>
        <v>61.344821214081129</v>
      </c>
      <c r="L148" s="241">
        <f t="shared" si="76"/>
        <v>61.344821214081129</v>
      </c>
      <c r="M148" s="388">
        <f t="shared" si="76"/>
        <v>61.344821214081129</v>
      </c>
      <c r="N148" s="240"/>
      <c r="O148" s="240"/>
    </row>
    <row r="149" spans="2:15" x14ac:dyDescent="0.2">
      <c r="B149" s="240"/>
      <c r="C149" s="387" t="s">
        <v>200</v>
      </c>
      <c r="D149" s="241">
        <f>D54</f>
        <v>264</v>
      </c>
      <c r="E149" s="241">
        <f t="shared" ref="E149:M149" si="77">E54</f>
        <v>317</v>
      </c>
      <c r="F149" s="241">
        <f t="shared" si="77"/>
        <v>284</v>
      </c>
      <c r="G149" s="241">
        <f t="shared" si="77"/>
        <v>935</v>
      </c>
      <c r="H149" s="398">
        <f t="shared" si="77"/>
        <v>248</v>
      </c>
      <c r="I149" s="241">
        <f ca="1">I54</f>
        <v>251.39758743012001</v>
      </c>
      <c r="J149" s="241">
        <f t="shared" ca="1" si="77"/>
        <v>241.21598513920014</v>
      </c>
      <c r="K149" s="241">
        <f t="shared" ca="1" si="77"/>
        <v>258.36644168259727</v>
      </c>
      <c r="L149" s="241">
        <f t="shared" ca="1" si="77"/>
        <v>261.61705269739258</v>
      </c>
      <c r="M149" s="388">
        <f t="shared" ca="1" si="77"/>
        <v>262.30805055199949</v>
      </c>
      <c r="N149" s="240"/>
      <c r="O149" s="240"/>
    </row>
    <row r="150" spans="2:15" x14ac:dyDescent="0.2">
      <c r="B150" s="240"/>
      <c r="C150" s="402" t="s">
        <v>295</v>
      </c>
      <c r="D150" s="403">
        <f t="shared" ref="D150:M150" si="78">D149/D27</f>
        <v>2.2410865874363327E-2</v>
      </c>
      <c r="E150" s="403">
        <f t="shared" si="78"/>
        <v>2.3451949397055558E-2</v>
      </c>
      <c r="F150" s="403">
        <f t="shared" si="78"/>
        <v>2.7060505002382086E-2</v>
      </c>
      <c r="G150" s="403">
        <f t="shared" si="78"/>
        <v>9.9765258215962438E-2</v>
      </c>
      <c r="H150" s="404">
        <f t="shared" si="78"/>
        <v>1.9940500120607864E-2</v>
      </c>
      <c r="I150" s="403">
        <f t="shared" ca="1" si="78"/>
        <v>1.9940500120607864E-2</v>
      </c>
      <c r="J150" s="403">
        <f t="shared" ca="1" si="78"/>
        <v>1.9940500120607864E-2</v>
      </c>
      <c r="K150" s="403">
        <f t="shared" ca="1" si="78"/>
        <v>1.9940500120607867E-2</v>
      </c>
      <c r="L150" s="403">
        <f t="shared" ca="1" si="78"/>
        <v>1.9940500120607871E-2</v>
      </c>
      <c r="M150" s="405">
        <f t="shared" ca="1" si="78"/>
        <v>1.9940500120607867E-2</v>
      </c>
      <c r="N150" s="240"/>
      <c r="O150" s="240"/>
    </row>
    <row r="151" spans="2:15" x14ac:dyDescent="0.2">
      <c r="B151" s="240"/>
      <c r="C151" s="391" t="s">
        <v>439</v>
      </c>
      <c r="D151" s="385">
        <f>D145+D147+D149</f>
        <v>2760</v>
      </c>
      <c r="E151" s="385">
        <f t="shared" ref="E151:M151" si="79">E145+E147+E149</f>
        <v>3139</v>
      </c>
      <c r="F151" s="385">
        <f t="shared" si="79"/>
        <v>2588</v>
      </c>
      <c r="G151" s="385">
        <f t="shared" si="79"/>
        <v>2889</v>
      </c>
      <c r="H151" s="400">
        <f t="shared" si="79"/>
        <v>3088</v>
      </c>
      <c r="I151" s="385">
        <f t="shared" ca="1" si="79"/>
        <v>2936.8072747692777</v>
      </c>
      <c r="J151" s="385">
        <f t="shared" ca="1" si="79"/>
        <v>2817.8665801411221</v>
      </c>
      <c r="K151" s="385">
        <f t="shared" ca="1" si="79"/>
        <v>3018.2168939891553</v>
      </c>
      <c r="L151" s="385">
        <f t="shared" ca="1" si="79"/>
        <v>3056.1902817741493</v>
      </c>
      <c r="M151" s="392">
        <f t="shared" ca="1" si="79"/>
        <v>3064.2624655488789</v>
      </c>
      <c r="N151" s="240"/>
      <c r="O151" s="240"/>
    </row>
    <row r="152" spans="2:15" x14ac:dyDescent="0.2">
      <c r="B152" s="240"/>
      <c r="C152" s="387"/>
      <c r="D152" s="241"/>
      <c r="E152" s="241"/>
      <c r="F152" s="241"/>
      <c r="G152" s="241"/>
      <c r="H152" s="398"/>
      <c r="I152" s="241"/>
      <c r="J152" s="241"/>
      <c r="K152" s="241"/>
      <c r="L152" s="241"/>
      <c r="M152" s="388"/>
      <c r="N152" s="240"/>
      <c r="O152" s="240"/>
    </row>
    <row r="153" spans="2:15" x14ac:dyDescent="0.2">
      <c r="B153" s="240"/>
      <c r="C153" s="387" t="s">
        <v>150</v>
      </c>
      <c r="D153" s="241">
        <f>D65</f>
        <v>1898</v>
      </c>
      <c r="E153" s="241">
        <f t="shared" ref="E153:H153" si="80">E65</f>
        <v>1663</v>
      </c>
      <c r="F153" s="241">
        <f t="shared" si="80"/>
        <v>1484</v>
      </c>
      <c r="G153" s="241">
        <f t="shared" si="80"/>
        <v>1403</v>
      </c>
      <c r="H153" s="398">
        <f t="shared" si="80"/>
        <v>1674</v>
      </c>
      <c r="I153" s="241">
        <f ca="1">(I154/365)*-I28</f>
        <v>1735.4165314430259</v>
      </c>
      <c r="J153" s="241">
        <f t="shared" ref="J153:M153" ca="1" si="81">(J154/365)*-J28</f>
        <v>1665.1321619195833</v>
      </c>
      <c r="K153" s="241">
        <f t="shared" ca="1" si="81"/>
        <v>1783.5230586320656</v>
      </c>
      <c r="L153" s="241">
        <f t="shared" ca="1" si="81"/>
        <v>1805.9622719516228</v>
      </c>
      <c r="M153" s="388">
        <f t="shared" ca="1" si="81"/>
        <v>1810.7322823257671</v>
      </c>
      <c r="N153" s="240"/>
      <c r="O153" s="240"/>
    </row>
    <row r="154" spans="2:15" x14ac:dyDescent="0.2">
      <c r="B154" s="240"/>
      <c r="C154" s="393" t="s">
        <v>441</v>
      </c>
      <c r="D154" s="241">
        <f t="shared" ref="D154:H154" si="82">-(D153/D28)*365</f>
        <v>70.980532786885249</v>
      </c>
      <c r="E154" s="241">
        <f t="shared" si="82"/>
        <v>56.083803012103857</v>
      </c>
      <c r="F154" s="241">
        <f t="shared" si="82"/>
        <v>58.286882599806304</v>
      </c>
      <c r="G154" s="241">
        <f t="shared" si="82"/>
        <v>59.49750203322877</v>
      </c>
      <c r="H154" s="398">
        <f t="shared" si="82"/>
        <v>62.252674477840046</v>
      </c>
      <c r="I154" s="241">
        <f>MEDIAN(D154:H154)</f>
        <v>59.49750203322877</v>
      </c>
      <c r="J154" s="241">
        <f>I154</f>
        <v>59.49750203322877</v>
      </c>
      <c r="K154" s="241">
        <f t="shared" ref="K154:M154" si="83">J154</f>
        <v>59.49750203322877</v>
      </c>
      <c r="L154" s="241">
        <f t="shared" si="83"/>
        <v>59.49750203322877</v>
      </c>
      <c r="M154" s="388">
        <f t="shared" si="83"/>
        <v>59.49750203322877</v>
      </c>
      <c r="N154" s="240"/>
      <c r="O154" s="240"/>
    </row>
    <row r="155" spans="2:15" x14ac:dyDescent="0.2">
      <c r="B155" s="240"/>
      <c r="C155" s="387" t="s">
        <v>261</v>
      </c>
      <c r="D155" s="241">
        <f>D66</f>
        <v>459</v>
      </c>
      <c r="E155" s="241">
        <f t="shared" ref="E155:M155" si="84">E66</f>
        <v>400</v>
      </c>
      <c r="F155" s="241">
        <f t="shared" si="84"/>
        <v>413</v>
      </c>
      <c r="G155" s="241">
        <f t="shared" si="84"/>
        <v>395</v>
      </c>
      <c r="H155" s="398">
        <f t="shared" si="84"/>
        <v>383</v>
      </c>
      <c r="I155" s="241">
        <f t="shared" ca="1" si="84"/>
        <v>463.83807391079267</v>
      </c>
      <c r="J155" s="241">
        <f t="shared" ca="1" si="84"/>
        <v>445.05263191740551</v>
      </c>
      <c r="K155" s="241">
        <f t="shared" ca="1" si="84"/>
        <v>476.69587404673302</v>
      </c>
      <c r="L155" s="241">
        <f t="shared" ca="1" si="84"/>
        <v>482.69337453012542</v>
      </c>
      <c r="M155" s="388">
        <f t="shared" ca="1" si="84"/>
        <v>483.96829175281533</v>
      </c>
      <c r="N155" s="240"/>
      <c r="O155" s="240"/>
    </row>
    <row r="156" spans="2:15" x14ac:dyDescent="0.2">
      <c r="B156" s="240"/>
      <c r="C156" s="389" t="s">
        <v>295</v>
      </c>
      <c r="D156" s="386">
        <f t="shared" ref="D156:M156" si="85">D155/D27</f>
        <v>3.8964346349745334E-2</v>
      </c>
      <c r="E156" s="386">
        <f t="shared" si="85"/>
        <v>2.9592365169786194E-2</v>
      </c>
      <c r="F156" s="386">
        <f t="shared" si="85"/>
        <v>3.9352072415435924E-2</v>
      </c>
      <c r="G156" s="386">
        <f t="shared" si="85"/>
        <v>4.2146820315834402E-2</v>
      </c>
      <c r="H156" s="399">
        <f t="shared" si="85"/>
        <v>3.0795207847551659E-2</v>
      </c>
      <c r="I156" s="386">
        <f t="shared" ca="1" si="85"/>
        <v>3.6790978240121869E-2</v>
      </c>
      <c r="J156" s="386">
        <f t="shared" ca="1" si="85"/>
        <v>3.6790978240121869E-2</v>
      </c>
      <c r="K156" s="386">
        <f t="shared" ca="1" si="85"/>
        <v>3.6790978240121869E-2</v>
      </c>
      <c r="L156" s="386">
        <f t="shared" ca="1" si="85"/>
        <v>3.6790978240121862E-2</v>
      </c>
      <c r="M156" s="390">
        <f t="shared" ca="1" si="85"/>
        <v>3.6790978240121862E-2</v>
      </c>
      <c r="N156" s="240"/>
      <c r="O156" s="240"/>
    </row>
    <row r="157" spans="2:15" x14ac:dyDescent="0.2">
      <c r="B157" s="240"/>
      <c r="C157" s="387" t="s">
        <v>225</v>
      </c>
      <c r="D157" s="241">
        <f>D67</f>
        <v>282</v>
      </c>
      <c r="E157" s="241">
        <f t="shared" ref="E157:M157" si="86">E67</f>
        <v>426</v>
      </c>
      <c r="F157" s="241">
        <f t="shared" si="86"/>
        <v>104</v>
      </c>
      <c r="G157" s="241">
        <f t="shared" si="86"/>
        <v>91</v>
      </c>
      <c r="H157" s="398">
        <f t="shared" si="86"/>
        <v>374</v>
      </c>
      <c r="I157" s="241">
        <f t="shared" ca="1" si="86"/>
        <v>166.99281987324892</v>
      </c>
      <c r="J157" s="241">
        <f t="shared" ca="1" si="86"/>
        <v>154.04226800969386</v>
      </c>
      <c r="K157" s="241">
        <f t="shared" ca="1" si="86"/>
        <v>175.85689704376941</v>
      </c>
      <c r="L157" s="241">
        <f t="shared" ca="1" si="86"/>
        <v>179.99153178322416</v>
      </c>
      <c r="M157" s="388">
        <f t="shared" ca="1" si="86"/>
        <v>180.87045076846806</v>
      </c>
      <c r="N157" s="240"/>
      <c r="O157" s="240"/>
    </row>
    <row r="158" spans="2:15" x14ac:dyDescent="0.2">
      <c r="B158" s="240"/>
      <c r="C158" s="389" t="s">
        <v>295</v>
      </c>
      <c r="D158" s="386">
        <f t="shared" ref="D158:M158" si="87">D67/D27</f>
        <v>2.393887945670628E-2</v>
      </c>
      <c r="E158" s="386">
        <f t="shared" si="87"/>
        <v>3.1515868905822295E-2</v>
      </c>
      <c r="F158" s="386">
        <f t="shared" si="87"/>
        <v>9.909480705097666E-3</v>
      </c>
      <c r="G158" s="386">
        <f t="shared" si="87"/>
        <v>9.709773794280837E-3</v>
      </c>
      <c r="H158" s="399">
        <f t="shared" si="87"/>
        <v>3.0071560665755406E-2</v>
      </c>
      <c r="I158" s="386">
        <f t="shared" ca="1" si="87"/>
        <v>1.3245633654892461E-2</v>
      </c>
      <c r="J158" s="386">
        <f t="shared" ca="1" si="87"/>
        <v>1.2734147208583272E-2</v>
      </c>
      <c r="K158" s="386">
        <f t="shared" ca="1" si="87"/>
        <v>1.3572484312877416E-2</v>
      </c>
      <c r="L158" s="386">
        <f t="shared" ca="1" si="87"/>
        <v>1.3718987826773067E-2</v>
      </c>
      <c r="M158" s="390">
        <f t="shared" ca="1" si="87"/>
        <v>1.3749662802087965E-2</v>
      </c>
      <c r="N158" s="240"/>
      <c r="O158" s="240"/>
    </row>
    <row r="159" spans="2:15" x14ac:dyDescent="0.2">
      <c r="B159" s="240"/>
      <c r="C159" s="387" t="s">
        <v>428</v>
      </c>
      <c r="D159" s="241">
        <f>D68</f>
        <v>597</v>
      </c>
      <c r="E159" s="241">
        <f t="shared" ref="E159:M159" si="88">E68</f>
        <v>429</v>
      </c>
      <c r="F159" s="241">
        <f t="shared" si="88"/>
        <v>500</v>
      </c>
      <c r="G159" s="241">
        <f t="shared" si="88"/>
        <v>810</v>
      </c>
      <c r="H159" s="398">
        <f t="shared" si="88"/>
        <v>756</v>
      </c>
      <c r="I159" s="241">
        <f t="shared" ca="1" si="88"/>
        <v>766.35716168214003</v>
      </c>
      <c r="J159" s="241">
        <f t="shared" ca="1" si="88"/>
        <v>735.31969663401333</v>
      </c>
      <c r="K159" s="241">
        <f t="shared" ca="1" si="88"/>
        <v>787.60092706469163</v>
      </c>
      <c r="L159" s="241">
        <f t="shared" ca="1" si="88"/>
        <v>797.51004773882562</v>
      </c>
      <c r="M159" s="388">
        <f t="shared" ca="1" si="88"/>
        <v>799.61647668270803</v>
      </c>
      <c r="N159" s="240"/>
      <c r="O159" s="240"/>
    </row>
    <row r="160" spans="2:15" x14ac:dyDescent="0.2">
      <c r="B160" s="240"/>
      <c r="C160" s="402" t="s">
        <v>295</v>
      </c>
      <c r="D160" s="403">
        <f t="shared" ref="D160:M160" si="89">D159/D27</f>
        <v>5.067911714770798E-2</v>
      </c>
      <c r="E160" s="403">
        <f t="shared" si="89"/>
        <v>3.1737811644595694E-2</v>
      </c>
      <c r="F160" s="403">
        <f t="shared" si="89"/>
        <v>4.7641734159123393E-2</v>
      </c>
      <c r="G160" s="403">
        <f t="shared" si="89"/>
        <v>8.6427656850192061E-2</v>
      </c>
      <c r="H160" s="404">
        <f t="shared" si="89"/>
        <v>6.0786363270885262E-2</v>
      </c>
      <c r="I160" s="403">
        <f t="shared" ca="1" si="89"/>
        <v>6.0786363270885262E-2</v>
      </c>
      <c r="J160" s="403">
        <f t="shared" ca="1" si="89"/>
        <v>6.0786363270885269E-2</v>
      </c>
      <c r="K160" s="403">
        <f t="shared" ca="1" si="89"/>
        <v>6.0786363270885269E-2</v>
      </c>
      <c r="L160" s="403">
        <f t="shared" ca="1" si="89"/>
        <v>6.0786363270885269E-2</v>
      </c>
      <c r="M160" s="405">
        <f t="shared" ca="1" si="89"/>
        <v>6.0786363270885269E-2</v>
      </c>
      <c r="N160" s="240"/>
      <c r="O160" s="240"/>
    </row>
    <row r="161" spans="2:15" x14ac:dyDescent="0.2">
      <c r="B161" s="240"/>
      <c r="C161" s="391" t="s">
        <v>440</v>
      </c>
      <c r="D161" s="385">
        <f>D153+D155+D157+D159</f>
        <v>3236</v>
      </c>
      <c r="E161" s="385">
        <f t="shared" ref="E161:M161" si="90">E153+E155+E157+E159</f>
        <v>2918</v>
      </c>
      <c r="F161" s="385">
        <f t="shared" si="90"/>
        <v>2501</v>
      </c>
      <c r="G161" s="385">
        <f t="shared" si="90"/>
        <v>2699</v>
      </c>
      <c r="H161" s="400">
        <f t="shared" si="90"/>
        <v>3187</v>
      </c>
      <c r="I161" s="385">
        <f t="shared" ca="1" si="90"/>
        <v>3132.6045869092077</v>
      </c>
      <c r="J161" s="385">
        <f t="shared" ca="1" si="90"/>
        <v>2999.5467584806961</v>
      </c>
      <c r="K161" s="385">
        <f t="shared" ca="1" si="90"/>
        <v>3223.6767567872594</v>
      </c>
      <c r="L161" s="385">
        <f t="shared" ca="1" si="90"/>
        <v>3266.1572260037979</v>
      </c>
      <c r="M161" s="392">
        <f t="shared" ca="1" si="90"/>
        <v>3275.1875015297583</v>
      </c>
      <c r="N161" s="240"/>
      <c r="O161" s="240"/>
    </row>
    <row r="162" spans="2:15" x14ac:dyDescent="0.2">
      <c r="B162" s="240"/>
      <c r="C162" s="391"/>
      <c r="D162" s="241"/>
      <c r="E162" s="241"/>
      <c r="F162" s="241"/>
      <c r="G162" s="241"/>
      <c r="H162" s="398"/>
      <c r="I162" s="385"/>
      <c r="J162" s="385"/>
      <c r="K162" s="385"/>
      <c r="L162" s="385"/>
      <c r="M162" s="392"/>
      <c r="N162" s="240"/>
      <c r="O162" s="240"/>
    </row>
    <row r="163" spans="2:15" x14ac:dyDescent="0.2">
      <c r="B163" s="240"/>
      <c r="C163" s="391" t="s">
        <v>306</v>
      </c>
      <c r="D163" s="385">
        <f>D151-D161</f>
        <v>-476</v>
      </c>
      <c r="E163" s="385">
        <f t="shared" ref="E163:M163" si="91">E151-E161</f>
        <v>221</v>
      </c>
      <c r="F163" s="385">
        <f t="shared" si="91"/>
        <v>87</v>
      </c>
      <c r="G163" s="385">
        <f t="shared" si="91"/>
        <v>190</v>
      </c>
      <c r="H163" s="400">
        <f t="shared" si="91"/>
        <v>-99</v>
      </c>
      <c r="I163" s="385">
        <f t="shared" ca="1" si="91"/>
        <v>-195.79731213993</v>
      </c>
      <c r="J163" s="385">
        <f t="shared" ca="1" si="91"/>
        <v>-181.68017833957401</v>
      </c>
      <c r="K163" s="385">
        <f t="shared" ca="1" si="91"/>
        <v>-205.45986279810404</v>
      </c>
      <c r="L163" s="385">
        <f t="shared" ca="1" si="91"/>
        <v>-209.96694422964856</v>
      </c>
      <c r="M163" s="392">
        <f t="shared" ca="1" si="91"/>
        <v>-210.92503598087933</v>
      </c>
      <c r="N163" s="240"/>
      <c r="O163" s="240"/>
    </row>
    <row r="164" spans="2:15" x14ac:dyDescent="0.2">
      <c r="B164" s="240"/>
      <c r="C164" s="387"/>
      <c r="D164" s="241"/>
      <c r="E164" s="241"/>
      <c r="F164" s="241"/>
      <c r="G164" s="241"/>
      <c r="H164" s="398"/>
      <c r="I164" s="241"/>
      <c r="J164" s="241"/>
      <c r="K164" s="241"/>
      <c r="L164" s="241"/>
      <c r="M164" s="388"/>
      <c r="N164" s="240"/>
      <c r="O164" s="240"/>
    </row>
    <row r="165" spans="2:15" ht="17" thickBot="1" x14ac:dyDescent="0.25">
      <c r="B165" s="240"/>
      <c r="C165" s="394" t="s">
        <v>357</v>
      </c>
      <c r="D165" s="395"/>
      <c r="E165" s="396">
        <f>E163-D163</f>
        <v>697</v>
      </c>
      <c r="F165" s="396">
        <f t="shared" ref="F165:M165" si="92">F163-E163</f>
        <v>-134</v>
      </c>
      <c r="G165" s="396">
        <f t="shared" si="92"/>
        <v>103</v>
      </c>
      <c r="H165" s="401">
        <f t="shared" si="92"/>
        <v>-289</v>
      </c>
      <c r="I165" s="396">
        <f t="shared" ca="1" si="92"/>
        <v>-96.79731213993</v>
      </c>
      <c r="J165" s="396">
        <f t="shared" ca="1" si="92"/>
        <v>14.117133800355987</v>
      </c>
      <c r="K165" s="396">
        <f t="shared" ca="1" si="92"/>
        <v>-23.779684458530028</v>
      </c>
      <c r="L165" s="396">
        <f t="shared" ca="1" si="92"/>
        <v>-4.5070814315445205</v>
      </c>
      <c r="M165" s="397">
        <f t="shared" ca="1" si="92"/>
        <v>-0.95809175123076784</v>
      </c>
      <c r="N165" s="240"/>
      <c r="O165" s="240"/>
    </row>
    <row r="166" spans="2:15" x14ac:dyDescent="0.2">
      <c r="B166" s="240"/>
      <c r="C166" s="240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0"/>
      <c r="O166" s="240"/>
    </row>
    <row r="167" spans="2:15" x14ac:dyDescent="0.2">
      <c r="B167" s="240"/>
      <c r="C167" s="240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0"/>
      <c r="O167" s="240"/>
    </row>
    <row r="168" spans="2:15" x14ac:dyDescent="0.2"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</row>
    <row r="169" spans="2:15" x14ac:dyDescent="0.2"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</row>
    <row r="170" spans="2:15" x14ac:dyDescent="0.2"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</row>
    <row r="171" spans="2:15" x14ac:dyDescent="0.2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</row>
    <row r="172" spans="2:15" x14ac:dyDescent="0.2"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</row>
    <row r="173" spans="2:15" x14ac:dyDescent="0.2"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</row>
    <row r="174" spans="2:15" x14ac:dyDescent="0.2"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</row>
    <row r="175" spans="2:15" x14ac:dyDescent="0.2"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</row>
    <row r="176" spans="2:15" x14ac:dyDescent="0.2"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</row>
    <row r="177" spans="2:15" x14ac:dyDescent="0.2"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</row>
    <row r="178" spans="2:15" x14ac:dyDescent="0.2"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</row>
    <row r="179" spans="2:15" x14ac:dyDescent="0.2"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</row>
    <row r="180" spans="2:15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</row>
    <row r="181" spans="2:15" x14ac:dyDescent="0.2"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</row>
    <row r="182" spans="2:15" x14ac:dyDescent="0.2"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</row>
    <row r="183" spans="2:15" x14ac:dyDescent="0.2"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</row>
  </sheetData>
  <pageMargins left="0.7" right="0.7" top="0.75" bottom="0.75" header="0.3" footer="0.3"/>
  <pageSetup orientation="portrait" r:id="rId1"/>
  <ignoredErrors>
    <ignoredError sqref="D80:H80" formulaRange="1"/>
    <ignoredError sqref="I72:M72 I147:M147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5C19-BB77-6A43-AF00-F3C94716B6CB}">
  <dimension ref="A2:N31"/>
  <sheetViews>
    <sheetView showGridLines="0" zoomScale="88" zoomScaleNormal="115" workbookViewId="0">
      <selection activeCell="L40" sqref="L40"/>
    </sheetView>
  </sheetViews>
  <sheetFormatPr baseColWidth="10" defaultColWidth="10.83203125" defaultRowHeight="16" x14ac:dyDescent="0.2"/>
  <cols>
    <col min="1" max="2" width="1.83203125" style="57" customWidth="1"/>
    <col min="3" max="3" width="50.6640625" style="57" customWidth="1"/>
    <col min="4" max="5" width="10.83203125" style="128" customWidth="1"/>
    <col min="6" max="6" width="13" style="128" customWidth="1"/>
    <col min="7" max="14" width="10.83203125" style="128"/>
  </cols>
  <sheetData>
    <row r="2" spans="2:12" x14ac:dyDescent="0.2">
      <c r="B2" s="57" t="s">
        <v>0</v>
      </c>
      <c r="C2" s="58" t="s">
        <v>307</v>
      </c>
      <c r="D2" s="242"/>
    </row>
    <row r="3" spans="2:12" ht="17" thickBot="1" x14ac:dyDescent="0.25">
      <c r="C3" s="60" t="s">
        <v>77</v>
      </c>
      <c r="D3" s="214"/>
      <c r="E3" s="243"/>
      <c r="F3" s="243"/>
      <c r="G3" s="243"/>
      <c r="H3" s="243"/>
      <c r="I3" s="243"/>
      <c r="J3" s="243"/>
      <c r="K3" s="243"/>
      <c r="L3" s="243"/>
    </row>
    <row r="4" spans="2:12" x14ac:dyDescent="0.2">
      <c r="C4" s="63" t="s">
        <v>317</v>
      </c>
      <c r="D4" s="242"/>
    </row>
    <row r="5" spans="2:12" ht="17" thickBot="1" x14ac:dyDescent="0.25">
      <c r="C5" s="63"/>
      <c r="D5" s="242"/>
    </row>
    <row r="6" spans="2:12" ht="48" x14ac:dyDescent="0.2">
      <c r="B6" s="244" t="s">
        <v>0</v>
      </c>
      <c r="C6" s="245" t="s">
        <v>309</v>
      </c>
      <c r="D6" s="246" t="s">
        <v>2</v>
      </c>
      <c r="E6" s="246" t="s">
        <v>310</v>
      </c>
      <c r="F6" s="246" t="s">
        <v>253</v>
      </c>
      <c r="G6" s="246" t="s">
        <v>311</v>
      </c>
      <c r="H6" s="246" t="s">
        <v>312</v>
      </c>
      <c r="I6" s="246" t="s">
        <v>313</v>
      </c>
      <c r="J6" s="246" t="s">
        <v>314</v>
      </c>
      <c r="K6" s="246" t="s">
        <v>315</v>
      </c>
      <c r="L6" s="247" t="s">
        <v>316</v>
      </c>
    </row>
    <row r="7" spans="2:12" x14ac:dyDescent="0.2">
      <c r="C7" s="378" t="s">
        <v>319</v>
      </c>
      <c r="D7" s="379" t="s">
        <v>7</v>
      </c>
      <c r="E7" s="381">
        <v>1726</v>
      </c>
      <c r="F7" s="406">
        <f>Comps!G7</f>
        <v>7532.4789999999994</v>
      </c>
      <c r="G7" s="407">
        <f>E7/F7</f>
        <v>0.22914103046287951</v>
      </c>
      <c r="H7" s="407">
        <f>E7/(E7+F7)</f>
        <v>0.18642370955315662</v>
      </c>
      <c r="I7" s="407">
        <f>F7/(E7+F7)</f>
        <v>0.81357629044684332</v>
      </c>
      <c r="J7" s="408">
        <v>1.47</v>
      </c>
      <c r="K7" s="382">
        <f ca="1">AVERAGE(K9:K12)</f>
        <v>1.0218447724781403</v>
      </c>
      <c r="L7" s="409">
        <f ca="1">K7*(1+(G7*(1-'Financial Statement Model'!I21)))</f>
        <v>1.1798380088054443</v>
      </c>
    </row>
    <row r="8" spans="2:12" x14ac:dyDescent="0.2">
      <c r="C8" s="97"/>
      <c r="D8" s="248"/>
      <c r="E8" s="249"/>
      <c r="F8" s="250"/>
      <c r="G8" s="251"/>
      <c r="H8" s="251"/>
      <c r="I8" s="251"/>
      <c r="J8" s="252"/>
      <c r="K8" s="253"/>
      <c r="L8" s="254"/>
    </row>
    <row r="9" spans="2:12" x14ac:dyDescent="0.2">
      <c r="C9" s="97" t="s">
        <v>337</v>
      </c>
      <c r="D9" s="248" t="s">
        <v>318</v>
      </c>
      <c r="E9" s="249">
        <v>1764</v>
      </c>
      <c r="F9" s="250">
        <f>Comps!G9</f>
        <v>2243.9299999999998</v>
      </c>
      <c r="G9" s="251">
        <f t="shared" ref="G9:G12" si="0">E9/F9</f>
        <v>0.78612077916869072</v>
      </c>
      <c r="H9" s="251">
        <f t="shared" ref="H9:H12" si="1">E9/(E9+F9)</f>
        <v>0.44012744733565706</v>
      </c>
      <c r="I9" s="251">
        <f t="shared" ref="I9:I12" si="2">F9/(E9+F9)</f>
        <v>0.55987255266434288</v>
      </c>
      <c r="J9" s="252">
        <v>1.41</v>
      </c>
      <c r="K9" s="253">
        <f ca="1">J9/(1+(G9*(1-'Financial Statement Model'!$I$21)))</f>
        <v>0.92130094555301589</v>
      </c>
      <c r="L9" s="255"/>
    </row>
    <row r="10" spans="2:12" x14ac:dyDescent="0.2">
      <c r="C10" s="97" t="s">
        <v>320</v>
      </c>
      <c r="D10" s="248" t="s">
        <v>321</v>
      </c>
      <c r="E10" s="249">
        <v>1075</v>
      </c>
      <c r="F10" s="250">
        <f>Comps!G10</f>
        <v>1281.1880000000003</v>
      </c>
      <c r="G10" s="251">
        <f t="shared" si="0"/>
        <v>0.83906499280355396</v>
      </c>
      <c r="H10" s="251">
        <f t="shared" si="1"/>
        <v>0.45624542693537185</v>
      </c>
      <c r="I10" s="251">
        <f t="shared" si="2"/>
        <v>0.54375457306462827</v>
      </c>
      <c r="J10" s="252">
        <v>1.25</v>
      </c>
      <c r="K10" s="253">
        <f ca="1">J10/(1+(G10*(1-'Financial Statement Model'!$I$21)))</f>
        <v>0.79812572555837835</v>
      </c>
      <c r="L10" s="255"/>
    </row>
    <row r="11" spans="2:12" x14ac:dyDescent="0.2">
      <c r="C11" s="97" t="s">
        <v>335</v>
      </c>
      <c r="D11" s="248" t="s">
        <v>336</v>
      </c>
      <c r="E11" s="249">
        <v>448.5</v>
      </c>
      <c r="F11" s="250">
        <f>Comps!G11</f>
        <v>676.1694</v>
      </c>
      <c r="G11" s="251">
        <f t="shared" si="0"/>
        <v>0.66329532214856224</v>
      </c>
      <c r="H11" s="251">
        <f t="shared" si="1"/>
        <v>0.3987838559491349</v>
      </c>
      <c r="I11" s="251">
        <f t="shared" si="2"/>
        <v>0.6012161440508651</v>
      </c>
      <c r="J11" s="252">
        <v>1.5</v>
      </c>
      <c r="K11" s="253">
        <f ca="1">J11/(1+(G11*(1-'Financial Statement Model'!$I$21)))</f>
        <v>1.0362217745938913</v>
      </c>
      <c r="L11" s="129"/>
    </row>
    <row r="12" spans="2:12" x14ac:dyDescent="0.2">
      <c r="C12" s="97" t="s">
        <v>339</v>
      </c>
      <c r="D12" s="248" t="s">
        <v>338</v>
      </c>
      <c r="E12" s="249">
        <v>10690</v>
      </c>
      <c r="F12" s="250">
        <f>Comps!G12</f>
        <v>46123.200000000004</v>
      </c>
      <c r="G12" s="251">
        <f t="shared" si="0"/>
        <v>0.23177056232004717</v>
      </c>
      <c r="H12" s="251">
        <f t="shared" si="1"/>
        <v>0.18816049791245695</v>
      </c>
      <c r="I12" s="251">
        <f t="shared" si="2"/>
        <v>0.81183950208754307</v>
      </c>
      <c r="J12" s="252">
        <v>1.54</v>
      </c>
      <c r="K12" s="253">
        <f ca="1">J12/(1+(G12*(1-'Financial Statement Model'!$I$21)))</f>
        <v>1.3317306442072749</v>
      </c>
      <c r="L12" s="129"/>
    </row>
    <row r="13" spans="2:12" ht="17" thickBot="1" x14ac:dyDescent="0.25">
      <c r="C13" s="220"/>
      <c r="D13" s="243"/>
      <c r="E13" s="256" t="s">
        <v>322</v>
      </c>
      <c r="F13" s="257"/>
      <c r="G13" s="258">
        <f>AVERAGE(G9:G12)</f>
        <v>0.63006291411021353</v>
      </c>
      <c r="H13" s="258">
        <f>AVERAGE(H9:H12)</f>
        <v>0.3708293070331552</v>
      </c>
      <c r="I13" s="259">
        <f>AVERAGE(I9:I12)</f>
        <v>0.6291706929668448</v>
      </c>
      <c r="J13" s="243"/>
      <c r="K13" s="243"/>
      <c r="L13" s="260"/>
    </row>
    <row r="14" spans="2:12" ht="17" thickBot="1" x14ac:dyDescent="0.25"/>
    <row r="15" spans="2:12" x14ac:dyDescent="0.2">
      <c r="B15" s="57" t="s">
        <v>0</v>
      </c>
      <c r="D15" s="261" t="s">
        <v>323</v>
      </c>
      <c r="E15" s="262"/>
      <c r="F15" s="263"/>
      <c r="G15" s="262"/>
      <c r="H15" s="264"/>
    </row>
    <row r="16" spans="2:12" x14ac:dyDescent="0.2">
      <c r="D16" s="265" t="s">
        <v>324</v>
      </c>
      <c r="H16" s="129"/>
    </row>
    <row r="17" spans="3:9" x14ac:dyDescent="0.2">
      <c r="D17" s="266" t="s">
        <v>325</v>
      </c>
      <c r="H17" s="269">
        <v>3.95E-2</v>
      </c>
    </row>
    <row r="18" spans="3:9" x14ac:dyDescent="0.2">
      <c r="D18" s="266" t="s">
        <v>326</v>
      </c>
      <c r="H18" s="270">
        <f ca="1">+L7</f>
        <v>1.1798380088054443</v>
      </c>
    </row>
    <row r="19" spans="3:9" x14ac:dyDescent="0.2">
      <c r="D19" s="266" t="s">
        <v>327</v>
      </c>
      <c r="H19" s="269">
        <f>0.1-H17</f>
        <v>6.0500000000000005E-2</v>
      </c>
    </row>
    <row r="20" spans="3:9" x14ac:dyDescent="0.2">
      <c r="D20" s="265" t="s">
        <v>340</v>
      </c>
      <c r="H20" s="267">
        <f ca="1">+H17+H18*H19</f>
        <v>0.1108801995327294</v>
      </c>
    </row>
    <row r="21" spans="3:9" x14ac:dyDescent="0.2">
      <c r="D21" s="265"/>
      <c r="H21" s="129"/>
    </row>
    <row r="22" spans="3:9" x14ac:dyDescent="0.2">
      <c r="D22" s="265" t="s">
        <v>328</v>
      </c>
      <c r="H22" s="129"/>
    </row>
    <row r="23" spans="3:9" x14ac:dyDescent="0.2">
      <c r="D23" s="266" t="s">
        <v>329</v>
      </c>
      <c r="H23" s="269">
        <v>7.5819999999999999E-2</v>
      </c>
      <c r="I23" s="128" t="s">
        <v>341</v>
      </c>
    </row>
    <row r="24" spans="3:9" x14ac:dyDescent="0.2">
      <c r="D24" s="266" t="s">
        <v>330</v>
      </c>
      <c r="H24" s="434">
        <f ca="1">+'Financial Statement Model'!I21</f>
        <v>0.32523786155716372</v>
      </c>
    </row>
    <row r="25" spans="3:9" x14ac:dyDescent="0.2">
      <c r="D25" s="265" t="s">
        <v>331</v>
      </c>
      <c r="H25" s="267">
        <f ca="1">+H23*(1-H24)</f>
        <v>5.1160465336735843E-2</v>
      </c>
    </row>
    <row r="26" spans="3:9" x14ac:dyDescent="0.2">
      <c r="C26" s="57" t="s">
        <v>308</v>
      </c>
      <c r="D26" s="266"/>
      <c r="H26" s="129"/>
    </row>
    <row r="27" spans="3:9" x14ac:dyDescent="0.2">
      <c r="D27" s="265" t="s">
        <v>332</v>
      </c>
      <c r="H27" s="129"/>
    </row>
    <row r="28" spans="3:9" ht="15.75" customHeight="1" x14ac:dyDescent="0.2">
      <c r="D28" s="266" t="s">
        <v>333</v>
      </c>
      <c r="H28" s="267">
        <f>+H13</f>
        <v>0.3708293070331552</v>
      </c>
      <c r="I28" s="128" t="s">
        <v>434</v>
      </c>
    </row>
    <row r="29" spans="3:9" ht="15.75" customHeight="1" x14ac:dyDescent="0.2">
      <c r="D29" s="266" t="s">
        <v>334</v>
      </c>
      <c r="H29" s="267">
        <f>+I13</f>
        <v>0.6291706929668448</v>
      </c>
      <c r="I29" s="128" t="s">
        <v>434</v>
      </c>
    </row>
    <row r="30" spans="3:9" x14ac:dyDescent="0.2">
      <c r="D30" s="266"/>
      <c r="H30" s="129"/>
    </row>
    <row r="31" spans="3:9" ht="17" thickBot="1" x14ac:dyDescent="0.25">
      <c r="D31" s="369">
        <f ca="1">+H20*H29+H25*H28</f>
        <v>8.873437188462488E-2</v>
      </c>
      <c r="E31" s="365"/>
      <c r="F31" s="366"/>
      <c r="G31" s="367"/>
      <c r="H31" s="36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11B8-14D5-F947-8FA9-0D6C94D0C2C9}">
  <dimension ref="A2:R31"/>
  <sheetViews>
    <sheetView showGridLines="0" zoomScale="107" zoomScaleNormal="140" workbookViewId="0">
      <selection activeCell="J18" sqref="J18"/>
    </sheetView>
  </sheetViews>
  <sheetFormatPr baseColWidth="10" defaultColWidth="10.83203125" defaultRowHeight="16" x14ac:dyDescent="0.2"/>
  <cols>
    <col min="1" max="2" width="1.83203125" style="57" customWidth="1"/>
    <col min="3" max="3" width="50.6640625" style="57" customWidth="1"/>
    <col min="4" max="5" width="10.83203125" style="128" customWidth="1"/>
    <col min="6" max="6" width="13" style="128" customWidth="1"/>
    <col min="7" max="17" width="10.83203125" style="128"/>
    <col min="18" max="18" width="10.83203125" style="2"/>
  </cols>
  <sheetData>
    <row r="2" spans="1:18" x14ac:dyDescent="0.2">
      <c r="B2" s="57" t="s">
        <v>0</v>
      </c>
      <c r="C2" s="58" t="s">
        <v>400</v>
      </c>
      <c r="D2" s="242"/>
    </row>
    <row r="3" spans="1:18" ht="17" thickBot="1" x14ac:dyDescent="0.25">
      <c r="C3" s="60" t="s">
        <v>77</v>
      </c>
      <c r="D3" s="214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</row>
    <row r="4" spans="1:18" x14ac:dyDescent="0.2">
      <c r="C4" s="63" t="s">
        <v>401</v>
      </c>
      <c r="D4" s="242"/>
    </row>
    <row r="5" spans="1:18" ht="17" thickBot="1" x14ac:dyDescent="0.25">
      <c r="C5" s="63"/>
      <c r="D5" s="242"/>
    </row>
    <row r="6" spans="1:18" ht="32" x14ac:dyDescent="0.2">
      <c r="B6" s="244" t="s">
        <v>0</v>
      </c>
      <c r="C6" s="245" t="s">
        <v>309</v>
      </c>
      <c r="D6" s="246" t="s">
        <v>2</v>
      </c>
      <c r="E6" s="246" t="s">
        <v>389</v>
      </c>
      <c r="F6" s="246" t="s">
        <v>384</v>
      </c>
      <c r="G6" s="246" t="s">
        <v>390</v>
      </c>
      <c r="H6" s="246" t="s">
        <v>391</v>
      </c>
      <c r="I6" s="246" t="s">
        <v>392</v>
      </c>
      <c r="J6" s="246" t="s">
        <v>393</v>
      </c>
      <c r="K6" s="246" t="s">
        <v>394</v>
      </c>
      <c r="L6" s="247" t="s">
        <v>395</v>
      </c>
      <c r="M6" s="246" t="s">
        <v>396</v>
      </c>
      <c r="N6" s="246" t="s">
        <v>397</v>
      </c>
      <c r="O6" s="246" t="s">
        <v>398</v>
      </c>
      <c r="P6" s="247" t="s">
        <v>399</v>
      </c>
    </row>
    <row r="7" spans="1:18" x14ac:dyDescent="0.2">
      <c r="C7" s="378" t="s">
        <v>319</v>
      </c>
      <c r="D7" s="379" t="s">
        <v>7</v>
      </c>
      <c r="E7" s="380">
        <f>'Financial Statement Model'!D8</f>
        <v>41.41</v>
      </c>
      <c r="F7" s="408">
        <v>181.9</v>
      </c>
      <c r="G7" s="379">
        <f>E7*F7</f>
        <v>7532.4789999999994</v>
      </c>
      <c r="H7" s="381">
        <v>7508.6</v>
      </c>
      <c r="I7" s="381">
        <v>13460</v>
      </c>
      <c r="J7" s="381">
        <v>2585</v>
      </c>
      <c r="K7" s="381">
        <v>3220</v>
      </c>
      <c r="L7" s="408">
        <v>-0.84</v>
      </c>
      <c r="M7" s="383">
        <f>H7/J7</f>
        <v>2.90468085106383</v>
      </c>
      <c r="N7" s="383">
        <f>H7/K7</f>
        <v>2.3318633540372673</v>
      </c>
      <c r="O7" s="383">
        <f>H7/I7</f>
        <v>0.55784546805349189</v>
      </c>
      <c r="P7" s="384" t="str">
        <f>IF(E7/L7&lt;0, "N/A",E7/L7)</f>
        <v>N/A</v>
      </c>
    </row>
    <row r="8" spans="1:18" x14ac:dyDescent="0.2">
      <c r="C8" s="97"/>
      <c r="D8" s="248"/>
      <c r="E8" s="271"/>
      <c r="F8" s="252"/>
      <c r="G8" s="248"/>
      <c r="H8" s="249"/>
      <c r="I8" s="249"/>
      <c r="J8" s="249"/>
      <c r="K8" s="249"/>
      <c r="L8" s="252"/>
      <c r="M8" s="272"/>
      <c r="N8" s="272"/>
      <c r="O8" s="272"/>
      <c r="P8" s="273"/>
    </row>
    <row r="9" spans="1:18" x14ac:dyDescent="0.2">
      <c r="C9" s="97" t="s">
        <v>337</v>
      </c>
      <c r="D9" s="248" t="s">
        <v>318</v>
      </c>
      <c r="E9" s="274">
        <v>21.05</v>
      </c>
      <c r="F9" s="252">
        <v>106.6</v>
      </c>
      <c r="G9" s="248">
        <f>E9*F9</f>
        <v>2243.9299999999998</v>
      </c>
      <c r="H9" s="249">
        <v>4458.2</v>
      </c>
      <c r="I9" s="249">
        <v>8767</v>
      </c>
      <c r="J9" s="249">
        <v>428</v>
      </c>
      <c r="K9" s="249">
        <v>678</v>
      </c>
      <c r="L9" s="252">
        <v>1.23</v>
      </c>
      <c r="M9" s="272">
        <f>H9/J9</f>
        <v>10.416355140186916</v>
      </c>
      <c r="N9" s="272">
        <f>H9/K9</f>
        <v>6.5755162241887906</v>
      </c>
      <c r="O9" s="272">
        <f>H9/I9</f>
        <v>0.50852058857077675</v>
      </c>
      <c r="P9" s="273">
        <f>IF(E9/L9&lt;0, "N/A",E9/L9)</f>
        <v>17.113821138211382</v>
      </c>
    </row>
    <row r="10" spans="1:18" x14ac:dyDescent="0.2">
      <c r="C10" s="97" t="s">
        <v>320</v>
      </c>
      <c r="D10" s="248" t="s">
        <v>321</v>
      </c>
      <c r="E10" s="274">
        <v>77.180000000000007</v>
      </c>
      <c r="F10" s="252">
        <v>16.600000000000001</v>
      </c>
      <c r="G10" s="248">
        <f t="shared" ref="G10:G12" si="0">E10*F10</f>
        <v>1281.1880000000003</v>
      </c>
      <c r="H10" s="249">
        <v>1923.55</v>
      </c>
      <c r="I10" s="249">
        <v>3458.3</v>
      </c>
      <c r="J10" s="249">
        <v>80.3</v>
      </c>
      <c r="K10" s="249">
        <v>187.9</v>
      </c>
      <c r="L10" s="252">
        <v>-0.1</v>
      </c>
      <c r="M10" s="272">
        <f>H10/J10</f>
        <v>23.954545454545453</v>
      </c>
      <c r="N10" s="272">
        <f>H10/K10</f>
        <v>10.237094199042042</v>
      </c>
      <c r="O10" s="272">
        <f t="shared" ref="O10:O12" si="1">H10/I10</f>
        <v>0.55621259000086742</v>
      </c>
      <c r="P10" s="273" t="str">
        <f t="shared" ref="P10:P12" si="2">IF(E10/L10&lt;0, "N/A",E10/L10)</f>
        <v>N/A</v>
      </c>
    </row>
    <row r="11" spans="1:18" x14ac:dyDescent="0.2">
      <c r="C11" s="97" t="s">
        <v>335</v>
      </c>
      <c r="D11" s="248" t="s">
        <v>336</v>
      </c>
      <c r="E11" s="274">
        <v>6.78</v>
      </c>
      <c r="F11" s="252">
        <v>99.73</v>
      </c>
      <c r="G11" s="248">
        <f t="shared" si="0"/>
        <v>676.1694</v>
      </c>
      <c r="H11" s="249">
        <v>1088.5999999999999</v>
      </c>
      <c r="I11" s="249">
        <v>2850.7</v>
      </c>
      <c r="J11" s="249">
        <v>182.2</v>
      </c>
      <c r="K11" s="249">
        <v>265.10000000000002</v>
      </c>
      <c r="L11" s="252">
        <v>0.57999999999999996</v>
      </c>
      <c r="M11" s="272">
        <f t="shared" ref="M11:M12" si="3">H11/J11</f>
        <v>5.9747530186608122</v>
      </c>
      <c r="N11" s="272">
        <f t="shared" ref="N11:N12" si="4">H11/K11</f>
        <v>4.1063749528479816</v>
      </c>
      <c r="O11" s="272">
        <f t="shared" si="1"/>
        <v>0.38187111937418877</v>
      </c>
      <c r="P11" s="273">
        <f t="shared" si="2"/>
        <v>11.689655172413794</v>
      </c>
    </row>
    <row r="12" spans="1:18" ht="17" thickBot="1" x14ac:dyDescent="0.25">
      <c r="C12" s="220" t="s">
        <v>339</v>
      </c>
      <c r="D12" s="275" t="s">
        <v>338</v>
      </c>
      <c r="E12" s="276">
        <v>32.03</v>
      </c>
      <c r="F12" s="435">
        <v>1440</v>
      </c>
      <c r="G12" s="275">
        <f t="shared" si="0"/>
        <v>46123.200000000004</v>
      </c>
      <c r="H12" s="277">
        <v>50557.55</v>
      </c>
      <c r="I12" s="277">
        <v>23485</v>
      </c>
      <c r="J12" s="277">
        <v>8112</v>
      </c>
      <c r="K12" s="277">
        <v>10184</v>
      </c>
      <c r="L12" s="435">
        <v>2.64</v>
      </c>
      <c r="M12" s="278">
        <f t="shared" si="3"/>
        <v>6.2324395956607495</v>
      </c>
      <c r="N12" s="278">
        <f t="shared" si="4"/>
        <v>4.9644098586017282</v>
      </c>
      <c r="O12" s="278">
        <f t="shared" si="1"/>
        <v>2.1527592080051097</v>
      </c>
      <c r="P12" s="279">
        <f t="shared" si="2"/>
        <v>12.132575757575758</v>
      </c>
    </row>
    <row r="13" spans="1:18" x14ac:dyDescent="0.2"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</row>
    <row r="14" spans="1:18" ht="17" thickBot="1" x14ac:dyDescent="0.25"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</row>
    <row r="15" spans="1:18" ht="33" thickBot="1" x14ac:dyDescent="0.25">
      <c r="B15" s="244" t="s">
        <v>0</v>
      </c>
      <c r="C15" s="413" t="s">
        <v>402</v>
      </c>
      <c r="D15" s="414" t="s">
        <v>396</v>
      </c>
      <c r="E15" s="414" t="s">
        <v>414</v>
      </c>
      <c r="F15" s="414" t="s">
        <v>398</v>
      </c>
      <c r="G15" s="415" t="s">
        <v>399</v>
      </c>
      <c r="L15" s="107"/>
    </row>
    <row r="16" spans="1:18" s="39" customFormat="1" x14ac:dyDescent="0.2">
      <c r="A16" s="57"/>
      <c r="B16" s="57"/>
      <c r="C16" s="416" t="s">
        <v>403</v>
      </c>
      <c r="D16" s="411">
        <f>MIN(M9:M12)</f>
        <v>5.9747530186608122</v>
      </c>
      <c r="E16" s="411">
        <f>MIN(N9:N12)</f>
        <v>4.1063749528479816</v>
      </c>
      <c r="F16" s="411">
        <f>MIN(O9:O12)</f>
        <v>0.38187111937418877</v>
      </c>
      <c r="G16" s="417">
        <f>MIN(P9:P12)</f>
        <v>11.689655172413794</v>
      </c>
      <c r="H16" s="281"/>
      <c r="I16" s="128"/>
      <c r="J16" s="107"/>
      <c r="K16" s="128"/>
      <c r="L16" s="128"/>
      <c r="M16" s="128"/>
      <c r="N16" s="128"/>
      <c r="O16" s="128"/>
      <c r="P16" s="128"/>
      <c r="Q16" s="128"/>
      <c r="R16" s="2"/>
    </row>
    <row r="17" spans="1:18" s="39" customFormat="1" x14ac:dyDescent="0.2">
      <c r="A17" s="57"/>
      <c r="B17" s="57"/>
      <c r="C17" s="418" t="s">
        <v>404</v>
      </c>
      <c r="D17" s="423">
        <f>_xlfn.PERCENTILE.EXC(M9:M12,0.25)</f>
        <v>6.0391746629107965</v>
      </c>
      <c r="E17" s="423">
        <f>_xlfn.PERCENTILE.EXC(N9:N12,0.25)</f>
        <v>4.3208836792864185</v>
      </c>
      <c r="F17" s="423">
        <f>_xlfn.PERCENTILE.EXC(O9:O12,0.25)</f>
        <v>0.41353348667333578</v>
      </c>
      <c r="G17" s="424">
        <f>_xlfn.PERCENTILE.EXC(P9:P12,0.25)</f>
        <v>11.689655172413794</v>
      </c>
      <c r="H17" s="107"/>
      <c r="I17" s="128"/>
      <c r="J17" s="128"/>
      <c r="K17" s="128"/>
      <c r="L17" s="128"/>
      <c r="M17" s="128"/>
      <c r="N17" s="128"/>
      <c r="O17" s="128"/>
      <c r="P17" s="128"/>
      <c r="Q17" s="128"/>
      <c r="R17" s="2"/>
    </row>
    <row r="18" spans="1:18" s="39" customFormat="1" x14ac:dyDescent="0.2">
      <c r="A18" s="57"/>
      <c r="B18" s="57"/>
      <c r="C18" s="419" t="s">
        <v>405</v>
      </c>
      <c r="D18" s="410">
        <f>MEDIAN(M9:M12)</f>
        <v>8.324397367923833</v>
      </c>
      <c r="E18" s="410">
        <f>MEDIAN(N9:N12)</f>
        <v>5.7699630413952594</v>
      </c>
      <c r="F18" s="410">
        <f>MEDIAN(O9:O12)</f>
        <v>0.53236658928582203</v>
      </c>
      <c r="G18" s="420">
        <f>MEDIAN(P9:P12)</f>
        <v>12.132575757575758</v>
      </c>
      <c r="H18" s="281"/>
      <c r="I18" s="128"/>
      <c r="J18" s="128"/>
      <c r="K18" s="128"/>
      <c r="L18" s="128"/>
      <c r="M18" s="128"/>
      <c r="N18" s="128"/>
      <c r="O18" s="128"/>
      <c r="P18" s="128"/>
      <c r="Q18" s="128"/>
      <c r="R18" s="2"/>
    </row>
    <row r="19" spans="1:18" s="39" customFormat="1" x14ac:dyDescent="0.2">
      <c r="A19" s="57"/>
      <c r="B19" s="57"/>
      <c r="C19" s="421" t="s">
        <v>406</v>
      </c>
      <c r="D19" s="412">
        <f>AVERAGE(M9:M12)</f>
        <v>11.644523302263483</v>
      </c>
      <c r="E19" s="412">
        <f>AVERAGE(N9:N12)</f>
        <v>6.4708488086701355</v>
      </c>
      <c r="F19" s="412">
        <f>AVERAGE(O9:O12)</f>
        <v>0.8998408764877357</v>
      </c>
      <c r="G19" s="422">
        <f>AVERAGE(P9:P12)</f>
        <v>13.645350689400312</v>
      </c>
      <c r="H19" s="281"/>
      <c r="I19" s="128"/>
      <c r="J19" s="128"/>
      <c r="K19" s="128"/>
      <c r="L19" s="128"/>
      <c r="M19" s="128"/>
      <c r="N19" s="128"/>
      <c r="O19" s="128"/>
      <c r="P19" s="128"/>
      <c r="Q19" s="128"/>
      <c r="R19" s="2"/>
    </row>
    <row r="20" spans="1:18" s="39" customFormat="1" x14ac:dyDescent="0.2">
      <c r="A20" s="57"/>
      <c r="B20" s="57"/>
      <c r="C20" s="51" t="s">
        <v>407</v>
      </c>
      <c r="D20" s="52">
        <f>_xlfn.PERCENTILE.EXC(M9:M12,0.75)</f>
        <v>20.569997875955821</v>
      </c>
      <c r="E20" s="52">
        <f>_xlfn.PERCENTILE.EXC(N9:N12,0.75)</f>
        <v>9.3216997053287294</v>
      </c>
      <c r="F20" s="52">
        <f>_xlfn.PERCENTILE.EXC(O9:O12,0.75)</f>
        <v>1.7536225535040491</v>
      </c>
      <c r="G20" s="53">
        <f>_xlfn.PERCENTILE.EXC(P9:P12,0.75)</f>
        <v>17.113821138211382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2"/>
    </row>
    <row r="21" spans="1:18" s="39" customFormat="1" ht="17" thickBot="1" x14ac:dyDescent="0.25">
      <c r="A21" s="57"/>
      <c r="B21" s="57"/>
      <c r="C21" s="54" t="s">
        <v>408</v>
      </c>
      <c r="D21" s="55">
        <f>MAX(M7:M12)</f>
        <v>23.954545454545453</v>
      </c>
      <c r="E21" s="55">
        <f t="shared" ref="E21:G21" si="5">MAX(N7:N12)</f>
        <v>10.237094199042042</v>
      </c>
      <c r="F21" s="55">
        <f t="shared" si="5"/>
        <v>2.1527592080051097</v>
      </c>
      <c r="G21" s="56">
        <f t="shared" si="5"/>
        <v>17.113821138211382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2"/>
    </row>
    <row r="22" spans="1:18" s="39" customFormat="1" x14ac:dyDescent="0.2">
      <c r="A22" s="57"/>
      <c r="B22" s="57"/>
      <c r="C22" s="57"/>
      <c r="D22" s="128"/>
      <c r="E22" s="128"/>
      <c r="F22" s="128"/>
      <c r="G22" s="128"/>
      <c r="H22" s="281"/>
      <c r="I22" s="128"/>
      <c r="J22" s="128"/>
      <c r="K22" s="128"/>
      <c r="L22" s="128"/>
      <c r="M22" s="128"/>
      <c r="N22" s="128"/>
      <c r="O22" s="128"/>
      <c r="P22" s="128"/>
      <c r="Q22" s="128"/>
      <c r="R22" s="2"/>
    </row>
    <row r="23" spans="1:18" s="39" customFormat="1" x14ac:dyDescent="0.2">
      <c r="A23" s="57"/>
      <c r="B23" s="57"/>
      <c r="C23" s="57"/>
      <c r="D23" s="128"/>
      <c r="E23" s="128"/>
      <c r="F23" s="128"/>
      <c r="G23" s="128"/>
      <c r="H23" s="282"/>
      <c r="I23" s="128"/>
      <c r="J23" s="128"/>
      <c r="K23" s="128"/>
      <c r="L23" s="128"/>
      <c r="M23" s="128"/>
      <c r="N23" s="128"/>
      <c r="O23" s="128"/>
      <c r="P23" s="128"/>
      <c r="Q23" s="128"/>
      <c r="R23" s="2"/>
    </row>
    <row r="24" spans="1:18" s="39" customFormat="1" x14ac:dyDescent="0.2">
      <c r="A24" s="57"/>
      <c r="B24" s="57"/>
      <c r="C24" s="57"/>
      <c r="D24" s="152"/>
      <c r="E24" s="128"/>
      <c r="F24" s="128"/>
      <c r="G24" s="128"/>
      <c r="H24" s="281"/>
      <c r="I24" s="128"/>
      <c r="J24" s="128"/>
      <c r="K24" s="128"/>
      <c r="L24" s="128"/>
      <c r="M24" s="128"/>
      <c r="N24" s="128"/>
      <c r="O24" s="128"/>
      <c r="P24" s="128"/>
      <c r="Q24" s="128"/>
      <c r="R24" s="2"/>
    </row>
    <row r="25" spans="1:18" s="39" customFormat="1" x14ac:dyDescent="0.2">
      <c r="A25" s="57"/>
      <c r="B25" s="57"/>
      <c r="C25" s="57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2"/>
    </row>
    <row r="26" spans="1:18" s="39" customFormat="1" x14ac:dyDescent="0.2">
      <c r="A26" s="57"/>
      <c r="B26" s="57"/>
      <c r="C26" s="57"/>
      <c r="D26" s="152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2"/>
    </row>
    <row r="27" spans="1:18" s="39" customFormat="1" ht="15.75" customHeight="1" x14ac:dyDescent="0.2">
      <c r="A27" s="57"/>
      <c r="B27" s="57"/>
      <c r="C27" s="57"/>
      <c r="D27" s="128"/>
      <c r="E27" s="128"/>
      <c r="F27" s="128"/>
      <c r="G27" s="128"/>
      <c r="H27" s="281"/>
      <c r="I27" s="128"/>
      <c r="J27" s="128"/>
      <c r="K27" s="128"/>
      <c r="L27" s="128"/>
      <c r="M27" s="128"/>
      <c r="N27" s="128"/>
      <c r="O27" s="128"/>
      <c r="P27" s="128"/>
      <c r="Q27" s="128"/>
      <c r="R27" s="2"/>
    </row>
    <row r="28" spans="1:18" s="39" customFormat="1" ht="15.75" customHeight="1" x14ac:dyDescent="0.2">
      <c r="A28" s="57"/>
      <c r="B28" s="57"/>
      <c r="C28" s="57"/>
      <c r="D28" s="128"/>
      <c r="E28" s="128"/>
      <c r="F28" s="128"/>
      <c r="G28" s="128"/>
      <c r="H28" s="281"/>
      <c r="I28" s="128"/>
      <c r="J28" s="128"/>
      <c r="K28" s="128"/>
      <c r="L28" s="128"/>
      <c r="M28" s="128"/>
      <c r="N28" s="128"/>
      <c r="O28" s="128"/>
      <c r="P28" s="128"/>
      <c r="Q28" s="128"/>
      <c r="R28" s="2"/>
    </row>
    <row r="29" spans="1:18" s="39" customFormat="1" x14ac:dyDescent="0.2">
      <c r="A29" s="57"/>
      <c r="B29" s="57"/>
      <c r="C29" s="5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2"/>
    </row>
    <row r="30" spans="1:18" s="39" customFormat="1" x14ac:dyDescent="0.2">
      <c r="A30" s="57"/>
      <c r="B30" s="57"/>
      <c r="C30" s="57"/>
      <c r="D30" s="283"/>
      <c r="E30" s="284"/>
      <c r="F30" s="285"/>
      <c r="G30" s="284"/>
      <c r="H30" s="284"/>
      <c r="I30" s="128"/>
      <c r="J30" s="128"/>
      <c r="K30" s="128"/>
      <c r="L30" s="128"/>
      <c r="M30" s="128"/>
      <c r="N30" s="128"/>
      <c r="O30" s="128"/>
      <c r="P30" s="128"/>
      <c r="Q30" s="128"/>
      <c r="R30" s="2"/>
    </row>
    <row r="31" spans="1:18" s="39" customFormat="1" x14ac:dyDescent="0.2">
      <c r="A31" s="57"/>
      <c r="B31" s="57"/>
      <c r="C31" s="5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AC6D-9BA1-4F35-AE78-D89B6FCA4D40}">
  <dimension ref="A2:S97"/>
  <sheetViews>
    <sheetView showGridLines="0" tabSelected="1" zoomScaleNormal="100" workbookViewId="0">
      <selection activeCell="Q62" sqref="Q62"/>
    </sheetView>
  </sheetViews>
  <sheetFormatPr baseColWidth="10" defaultColWidth="8.83203125" defaultRowHeight="16" x14ac:dyDescent="0.2"/>
  <cols>
    <col min="1" max="2" width="1.6640625" style="57" customWidth="1"/>
    <col min="3" max="3" width="50.6640625" style="57" customWidth="1"/>
    <col min="4" max="4" width="12.83203125" style="57" bestFit="1" customWidth="1"/>
    <col min="5" max="14" width="10.83203125" style="57" customWidth="1"/>
    <col min="15" max="15" width="10.83203125" style="57" bestFit="1" customWidth="1"/>
    <col min="16" max="19" width="8.83203125" style="57"/>
  </cols>
  <sheetData>
    <row r="2" spans="2:14" x14ac:dyDescent="0.2">
      <c r="B2" s="57" t="s">
        <v>0</v>
      </c>
      <c r="C2" s="58" t="s">
        <v>342</v>
      </c>
      <c r="D2" s="59"/>
    </row>
    <row r="3" spans="2:14" ht="17" thickBot="1" x14ac:dyDescent="0.25">
      <c r="C3" s="60" t="s">
        <v>77</v>
      </c>
      <c r="D3" s="61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2:14" x14ac:dyDescent="0.2">
      <c r="C4" s="63" t="s">
        <v>264</v>
      </c>
      <c r="D4" s="59"/>
    </row>
    <row r="6" spans="2:14" x14ac:dyDescent="0.2">
      <c r="C6" s="57" t="s">
        <v>343</v>
      </c>
      <c r="D6" s="286">
        <v>44561</v>
      </c>
    </row>
    <row r="7" spans="2:14" x14ac:dyDescent="0.2">
      <c r="C7" s="57" t="s">
        <v>344</v>
      </c>
      <c r="D7" s="286">
        <v>44926</v>
      </c>
    </row>
    <row r="8" spans="2:14" x14ac:dyDescent="0.2">
      <c r="C8" s="57" t="s">
        <v>345</v>
      </c>
      <c r="D8" s="286">
        <v>44834</v>
      </c>
    </row>
    <row r="9" spans="2:14" x14ac:dyDescent="0.2">
      <c r="C9" s="57" t="s">
        <v>346</v>
      </c>
      <c r="D9" s="286">
        <v>44861</v>
      </c>
      <c r="E9" s="111"/>
    </row>
    <row r="10" spans="2:14" x14ac:dyDescent="0.2">
      <c r="C10" s="57" t="s">
        <v>350</v>
      </c>
      <c r="D10" s="111">
        <f>YEARFRAC(D9,D7)</f>
        <v>0.17777777777777778</v>
      </c>
    </row>
    <row r="11" spans="2:14" x14ac:dyDescent="0.2">
      <c r="C11" s="57" t="s">
        <v>348</v>
      </c>
      <c r="D11" s="287">
        <f ca="1">+WACC!D31</f>
        <v>8.873437188462488E-2</v>
      </c>
    </row>
    <row r="12" spans="2:14" x14ac:dyDescent="0.2">
      <c r="C12" s="57" t="s">
        <v>349</v>
      </c>
      <c r="D12" s="288">
        <f>+'Financial Statement Model'!D8</f>
        <v>41.41</v>
      </c>
    </row>
    <row r="13" spans="2:14" x14ac:dyDescent="0.2">
      <c r="C13" s="57" t="s">
        <v>347</v>
      </c>
      <c r="D13" s="289">
        <f>+'Financial Statement Model'!D9</f>
        <v>44861</v>
      </c>
    </row>
    <row r="15" spans="2:14" ht="17" thickBot="1" x14ac:dyDescent="0.25">
      <c r="B15" s="57" t="s">
        <v>0</v>
      </c>
      <c r="C15" s="290" t="s">
        <v>425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2:14" ht="17" thickBot="1" x14ac:dyDescent="0.25">
      <c r="C16" s="291"/>
      <c r="D16" s="59"/>
    </row>
    <row r="17" spans="3:14" ht="19" x14ac:dyDescent="0.35">
      <c r="C17" s="65"/>
      <c r="D17" s="319" t="s">
        <v>86</v>
      </c>
      <c r="E17" s="320" t="s">
        <v>352</v>
      </c>
      <c r="F17" s="320"/>
      <c r="G17" s="320"/>
      <c r="H17" s="320"/>
      <c r="I17" s="320"/>
      <c r="J17" s="320" t="s">
        <v>353</v>
      </c>
      <c r="K17" s="320"/>
      <c r="L17" s="320"/>
      <c r="M17" s="320"/>
      <c r="N17" s="321"/>
    </row>
    <row r="18" spans="3:14" x14ac:dyDescent="0.2">
      <c r="C18" s="318" t="s">
        <v>9</v>
      </c>
      <c r="D18" s="292"/>
      <c r="E18" s="293">
        <f>+'Financial Statement Model'!D25</f>
        <v>2017</v>
      </c>
      <c r="F18" s="293">
        <f>+'Financial Statement Model'!E25</f>
        <v>2018</v>
      </c>
      <c r="G18" s="293">
        <f>+'Financial Statement Model'!F25</f>
        <v>2019</v>
      </c>
      <c r="H18" s="293">
        <f>+'Financial Statement Model'!G25</f>
        <v>2020</v>
      </c>
      <c r="I18" s="293">
        <f>+'Financial Statement Model'!H25</f>
        <v>2021</v>
      </c>
      <c r="J18" s="294">
        <f>+'Financial Statement Model'!I25</f>
        <v>2022</v>
      </c>
      <c r="K18" s="294">
        <f>+'Financial Statement Model'!J25</f>
        <v>2023</v>
      </c>
      <c r="L18" s="294">
        <f>+'Financial Statement Model'!K25</f>
        <v>2024</v>
      </c>
      <c r="M18" s="294">
        <f>+'Financial Statement Model'!L25</f>
        <v>2025</v>
      </c>
      <c r="N18" s="295">
        <f>+'Financial Statement Model'!M25</f>
        <v>2026</v>
      </c>
    </row>
    <row r="19" spans="3:14" x14ac:dyDescent="0.2">
      <c r="C19" s="70" t="s">
        <v>351</v>
      </c>
      <c r="D19" s="71">
        <f>+D9</f>
        <v>44861</v>
      </c>
      <c r="E19" s="71">
        <f>+'Financial Statement Model'!D26</f>
        <v>43100</v>
      </c>
      <c r="F19" s="71">
        <f>+'Financial Statement Model'!E26</f>
        <v>43465</v>
      </c>
      <c r="G19" s="71">
        <f>+'Financial Statement Model'!F26</f>
        <v>43830</v>
      </c>
      <c r="H19" s="71">
        <f>+'Financial Statement Model'!G26</f>
        <v>44196</v>
      </c>
      <c r="I19" s="71">
        <f>+'Financial Statement Model'!H26</f>
        <v>44561</v>
      </c>
      <c r="J19" s="71">
        <f>+'Financial Statement Model'!I26</f>
        <v>44926</v>
      </c>
      <c r="K19" s="71">
        <f>+'Financial Statement Model'!J26</f>
        <v>45291</v>
      </c>
      <c r="L19" s="71">
        <f>+'Financial Statement Model'!K26</f>
        <v>45657</v>
      </c>
      <c r="M19" s="71">
        <f>+'Financial Statement Model'!L26</f>
        <v>46022</v>
      </c>
      <c r="N19" s="73">
        <f>+'Financial Statement Model'!M26</f>
        <v>46387</v>
      </c>
    </row>
    <row r="20" spans="3:14" x14ac:dyDescent="0.2">
      <c r="C20" s="97"/>
      <c r="D20" s="98"/>
      <c r="E20" s="438"/>
      <c r="I20" s="98"/>
      <c r="N20" s="99"/>
    </row>
    <row r="21" spans="3:14" x14ac:dyDescent="0.2">
      <c r="C21" s="97" t="s">
        <v>10</v>
      </c>
      <c r="D21" s="219">
        <f ca="1">+$D$10*I21+J21*(1-$D$10)</f>
        <v>12577.095377251871</v>
      </c>
      <c r="E21" s="439">
        <f>+'Financial Statement Model'!D27</f>
        <v>11780</v>
      </c>
      <c r="F21" s="155">
        <f>+'Financial Statement Model'!E27</f>
        <v>13517</v>
      </c>
      <c r="G21" s="155">
        <f>+'Financial Statement Model'!F27</f>
        <v>10495</v>
      </c>
      <c r="H21" s="155">
        <f>+'Financial Statement Model'!G27</f>
        <v>9372</v>
      </c>
      <c r="I21" s="156">
        <f>+'Financial Statement Model'!H27</f>
        <v>12437</v>
      </c>
      <c r="J21" s="155">
        <f ca="1">+'Financial Statement Model'!I27</f>
        <v>12607.386269630655</v>
      </c>
      <c r="K21" s="155">
        <f ca="1">+'Financial Statement Model'!J27</f>
        <v>12096.787125710613</v>
      </c>
      <c r="L21" s="155">
        <f ca="1">+'Financial Statement Model'!K27</f>
        <v>12956.868690348636</v>
      </c>
      <c r="M21" s="155">
        <f ca="1">+'Financial Statement Model'!L27</f>
        <v>13119.884211280123</v>
      </c>
      <c r="N21" s="296">
        <f ca="1">+'Financial Statement Model'!M27</f>
        <v>13154.537196432326</v>
      </c>
    </row>
    <row r="22" spans="3:14" x14ac:dyDescent="0.2">
      <c r="C22" s="101" t="s">
        <v>361</v>
      </c>
      <c r="D22" s="98"/>
      <c r="E22" s="438"/>
      <c r="F22" s="103">
        <f>+F21/E21-1</f>
        <v>0.14745331069609513</v>
      </c>
      <c r="G22" s="103">
        <f t="shared" ref="G22:N22" si="0">+G21/F21-1</f>
        <v>-0.22357031885773471</v>
      </c>
      <c r="H22" s="103">
        <f t="shared" si="0"/>
        <v>-0.10700333492139114</v>
      </c>
      <c r="I22" s="113">
        <f t="shared" si="0"/>
        <v>0.32703798548868979</v>
      </c>
      <c r="J22" s="103">
        <f ca="1">+J21/I21-1</f>
        <v>1.3699949315000071E-2</v>
      </c>
      <c r="K22" s="103">
        <f t="shared" ca="1" si="0"/>
        <v>-4.0500000000000091E-2</v>
      </c>
      <c r="L22" s="103">
        <f t="shared" ca="1" si="0"/>
        <v>7.1099999999999941E-2</v>
      </c>
      <c r="M22" s="103">
        <f t="shared" ca="1" si="0"/>
        <v>1.2581397930883975E-2</v>
      </c>
      <c r="N22" s="104">
        <f t="shared" ca="1" si="0"/>
        <v>2.6412569344482772E-3</v>
      </c>
    </row>
    <row r="23" spans="3:14" x14ac:dyDescent="0.2">
      <c r="C23" s="101"/>
      <c r="D23" s="98"/>
      <c r="E23" s="438"/>
      <c r="F23" s="103"/>
      <c r="G23" s="103"/>
      <c r="H23" s="103"/>
      <c r="I23" s="113"/>
      <c r="J23" s="103"/>
      <c r="K23" s="103"/>
      <c r="L23" s="103"/>
      <c r="M23" s="103"/>
      <c r="N23" s="104"/>
    </row>
    <row r="24" spans="3:14" x14ac:dyDescent="0.2">
      <c r="C24" s="97" t="s">
        <v>17</v>
      </c>
      <c r="D24" s="219">
        <f ca="1">+$D$10*I24+J24*(1-$D$10)</f>
        <v>2406.7154159379506</v>
      </c>
      <c r="E24" s="439">
        <f>+'Financial Statement Model'!D42</f>
        <v>2458</v>
      </c>
      <c r="F24" s="155">
        <f>+'Financial Statement Model'!E42</f>
        <v>3148</v>
      </c>
      <c r="G24" s="155">
        <f>+'Financial Statement Model'!F42</f>
        <v>1608</v>
      </c>
      <c r="H24" s="155">
        <f>+'Financial Statement Model'!G42</f>
        <v>1185</v>
      </c>
      <c r="I24" s="156">
        <f>+'Financial Statement Model'!H42</f>
        <v>3028</v>
      </c>
      <c r="J24" s="155">
        <f ca="1">+'Financial Statement Model'!I42</f>
        <v>2272.3836139785885</v>
      </c>
      <c r="K24" s="155">
        <f ca="1">+'Financial Statement Model'!J42</f>
        <v>2171.9254526124555</v>
      </c>
      <c r="L24" s="155">
        <f ca="1">+'Financial Statement Model'!K42</f>
        <v>2191.805727293201</v>
      </c>
      <c r="M24" s="155">
        <f ca="1">+'Financial Statement Model'!L42</f>
        <v>2219.3817073354671</v>
      </c>
      <c r="N24" s="296">
        <f ca="1">+'Financial Statement Model'!M42</f>
        <v>2225.243664660155</v>
      </c>
    </row>
    <row r="25" spans="3:14" ht="15.75" customHeight="1" x14ac:dyDescent="0.2">
      <c r="C25" s="101" t="s">
        <v>360</v>
      </c>
      <c r="D25" s="98"/>
      <c r="E25" s="440">
        <f t="shared" ref="E25:N25" si="1">+E24/E21</f>
        <v>0.20865874363327674</v>
      </c>
      <c r="F25" s="103">
        <f t="shared" si="1"/>
        <v>0.23289191388621736</v>
      </c>
      <c r="G25" s="103">
        <f t="shared" si="1"/>
        <v>0.15321581705574083</v>
      </c>
      <c r="H25" s="103">
        <f t="shared" si="1"/>
        <v>0.12644046094750319</v>
      </c>
      <c r="I25" s="113">
        <f t="shared" si="1"/>
        <v>0.24346707405322826</v>
      </c>
      <c r="J25" s="103">
        <f t="shared" ca="1" si="1"/>
        <v>0.18024224572641417</v>
      </c>
      <c r="K25" s="103">
        <f t="shared" ca="1" si="1"/>
        <v>0.17954564547112076</v>
      </c>
      <c r="L25" s="103">
        <f t="shared" ca="1" si="1"/>
        <v>0.16916168402060305</v>
      </c>
      <c r="M25" s="103">
        <f t="shared" ca="1" si="1"/>
        <v>0.16916168402060305</v>
      </c>
      <c r="N25" s="104">
        <f t="shared" ca="1" si="1"/>
        <v>0.16916168402060308</v>
      </c>
    </row>
    <row r="26" spans="3:14" ht="15.75" customHeight="1" x14ac:dyDescent="0.2">
      <c r="C26" s="101"/>
      <c r="D26" s="98"/>
      <c r="E26" s="440"/>
      <c r="F26" s="103"/>
      <c r="G26" s="103"/>
      <c r="H26" s="103"/>
      <c r="I26" s="113"/>
      <c r="J26" s="103"/>
      <c r="K26" s="103"/>
      <c r="L26" s="103"/>
      <c r="M26" s="103"/>
      <c r="N26" s="104"/>
    </row>
    <row r="27" spans="3:14" x14ac:dyDescent="0.2">
      <c r="C27" s="97" t="s">
        <v>136</v>
      </c>
      <c r="D27" s="219">
        <f ca="1">+$D$10*I27+J27*(1-$D$10)</f>
        <v>1779.8330224543183</v>
      </c>
      <c r="E27" s="439">
        <f>+'Financial Statement Model'!D32</f>
        <v>1708</v>
      </c>
      <c r="F27" s="155">
        <f>+'Financial Statement Model'!E32</f>
        <v>2415</v>
      </c>
      <c r="G27" s="155">
        <f>+'Financial Statement Model'!F32</f>
        <v>895</v>
      </c>
      <c r="H27" s="155">
        <f>+'Financial Statement Model'!G32</f>
        <v>532</v>
      </c>
      <c r="I27" s="156">
        <f>+'Financial Statement Model'!H32</f>
        <v>2364</v>
      </c>
      <c r="J27" s="155">
        <f ca="1">+'Financial Statement Model'!I32</f>
        <v>1653.5266489309279</v>
      </c>
      <c r="K27" s="155">
        <f ca="1">+'Financial Statement Model'!J32</f>
        <v>1586.5588196492251</v>
      </c>
      <c r="L27" s="155">
        <f ca="1">+'Financial Statement Model'!K32</f>
        <v>1699.3631517262847</v>
      </c>
      <c r="M27" s="155">
        <f ca="1">+'Financial Statement Model'!L32</f>
        <v>1720.7435157672344</v>
      </c>
      <c r="N27" s="296">
        <f ca="1">+'Financial Statement Model'!M32</f>
        <v>1725.2884415106616</v>
      </c>
    </row>
    <row r="28" spans="3:14" x14ac:dyDescent="0.2">
      <c r="C28" s="101" t="s">
        <v>360</v>
      </c>
      <c r="D28" s="98"/>
      <c r="E28" s="440">
        <f t="shared" ref="E28:N28" si="2">+E27/E21</f>
        <v>0.14499151103565366</v>
      </c>
      <c r="F28" s="103">
        <f t="shared" si="2"/>
        <v>0.17866390471258414</v>
      </c>
      <c r="G28" s="103">
        <f t="shared" si="2"/>
        <v>8.5278704144830866E-2</v>
      </c>
      <c r="H28" s="103">
        <f t="shared" si="2"/>
        <v>5.6764831412718736E-2</v>
      </c>
      <c r="I28" s="113">
        <f t="shared" si="2"/>
        <v>0.19007799308514914</v>
      </c>
      <c r="J28" s="103">
        <f t="shared" ca="1" si="2"/>
        <v>0.13115538887818731</v>
      </c>
      <c r="K28" s="103">
        <f t="shared" ca="1" si="2"/>
        <v>0.13115538887818731</v>
      </c>
      <c r="L28" s="103">
        <f t="shared" ca="1" si="2"/>
        <v>0.13115538887818731</v>
      </c>
      <c r="M28" s="103">
        <f t="shared" ca="1" si="2"/>
        <v>0.13115538887818731</v>
      </c>
      <c r="N28" s="104">
        <f t="shared" ca="1" si="2"/>
        <v>0.13115538887818731</v>
      </c>
    </row>
    <row r="29" spans="3:14" x14ac:dyDescent="0.2">
      <c r="C29" s="97"/>
      <c r="D29" s="98"/>
      <c r="E29" s="438"/>
      <c r="I29" s="98"/>
      <c r="N29" s="99"/>
    </row>
    <row r="30" spans="3:14" x14ac:dyDescent="0.2">
      <c r="C30" s="97" t="s">
        <v>354</v>
      </c>
      <c r="D30" s="98"/>
      <c r="E30" s="441">
        <f>+E31*E27</f>
        <v>884.21052631578948</v>
      </c>
      <c r="F30" s="128">
        <f t="shared" ref="F30:I30" si="3">+F31*F27</f>
        <v>1087.8646153846155</v>
      </c>
      <c r="G30" s="128">
        <f t="shared" si="3"/>
        <v>-848.0022831050228</v>
      </c>
      <c r="H30" s="128">
        <f t="shared" si="3"/>
        <v>575.05202312138726</v>
      </c>
      <c r="I30" s="219">
        <f t="shared" si="3"/>
        <v>1240.1634695579651</v>
      </c>
      <c r="J30" s="128">
        <f ca="1">+J31*J27</f>
        <v>537.789471326078</v>
      </c>
      <c r="K30" s="128">
        <f t="shared" ref="K30:N30" ca="1" si="4">+K31*K27</f>
        <v>516.00899773737171</v>
      </c>
      <c r="L30" s="128">
        <f t="shared" ca="1" si="4"/>
        <v>552.6972374764988</v>
      </c>
      <c r="M30" s="128">
        <f t="shared" ca="1" si="4"/>
        <v>559.65094135649099</v>
      </c>
      <c r="N30" s="129">
        <f t="shared" ca="1" si="4"/>
        <v>561.12912328621928</v>
      </c>
    </row>
    <row r="31" spans="3:14" x14ac:dyDescent="0.2">
      <c r="C31" s="101" t="s">
        <v>355</v>
      </c>
      <c r="D31" s="98"/>
      <c r="E31" s="442">
        <f>+Assumptions!D57</f>
        <v>0.51768766177739434</v>
      </c>
      <c r="F31" s="105">
        <f>+Assumptions!E57</f>
        <v>0.45046153846153847</v>
      </c>
      <c r="G31" s="105">
        <f>+Assumptions!F57</f>
        <v>-0.94748858447488582</v>
      </c>
      <c r="H31" s="105">
        <f>+Assumptions!G57</f>
        <v>1.0809248554913296</v>
      </c>
      <c r="I31" s="106">
        <f>+Assumptions!H57</f>
        <v>0.52460383653044207</v>
      </c>
      <c r="J31" s="105">
        <f>+Assumptions!I57</f>
        <v>0.32523786155716372</v>
      </c>
      <c r="K31" s="105">
        <f>+Assumptions!J57</f>
        <v>0.32523786155716372</v>
      </c>
      <c r="L31" s="105">
        <f>+Assumptions!K57</f>
        <v>0.32523786155716372</v>
      </c>
      <c r="M31" s="105">
        <f>+Assumptions!L57</f>
        <v>0.32523786155716372</v>
      </c>
      <c r="N31" s="130">
        <f>+Assumptions!M57</f>
        <v>0.32523786155716372</v>
      </c>
    </row>
    <row r="32" spans="3:14" x14ac:dyDescent="0.2">
      <c r="C32" s="97"/>
      <c r="D32" s="98"/>
      <c r="E32" s="438"/>
      <c r="I32" s="98"/>
      <c r="N32" s="99"/>
    </row>
    <row r="33" spans="2:14" x14ac:dyDescent="0.2">
      <c r="C33" s="100" t="s">
        <v>356</v>
      </c>
      <c r="D33" s="98"/>
      <c r="E33" s="443">
        <f>+E27-E30</f>
        <v>823.78947368421052</v>
      </c>
      <c r="F33" s="152">
        <f t="shared" ref="F33:M33" si="5">+F27-F30</f>
        <v>1327.1353846153845</v>
      </c>
      <c r="G33" s="152">
        <f>+G27-G30</f>
        <v>1743.0022831050228</v>
      </c>
      <c r="H33" s="152">
        <f t="shared" si="5"/>
        <v>-43.052023121387265</v>
      </c>
      <c r="I33" s="153">
        <f t="shared" si="5"/>
        <v>1123.8365304420349</v>
      </c>
      <c r="J33" s="152">
        <f ca="1">+J27-J30</f>
        <v>1115.7371776048499</v>
      </c>
      <c r="K33" s="152">
        <f t="shared" ca="1" si="5"/>
        <v>1070.5498219118535</v>
      </c>
      <c r="L33" s="152">
        <f t="shared" ca="1" si="5"/>
        <v>1146.6659142497861</v>
      </c>
      <c r="M33" s="152">
        <f t="shared" ca="1" si="5"/>
        <v>1161.0925744107435</v>
      </c>
      <c r="N33" s="154">
        <f t="shared" ref="N33" ca="1" si="6">+N27-N30</f>
        <v>1164.1593182244424</v>
      </c>
    </row>
    <row r="34" spans="2:14" x14ac:dyDescent="0.2">
      <c r="C34" s="97"/>
      <c r="D34" s="98"/>
      <c r="E34" s="438"/>
      <c r="I34" s="98"/>
      <c r="N34" s="99"/>
    </row>
    <row r="35" spans="2:14" x14ac:dyDescent="0.2">
      <c r="C35" s="97" t="s">
        <v>64</v>
      </c>
      <c r="D35" s="98"/>
      <c r="E35" s="439">
        <f>+'Financial Statement Model'!D130</f>
        <v>750</v>
      </c>
      <c r="F35" s="155">
        <f>+'Financial Statement Model'!E130</f>
        <v>733</v>
      </c>
      <c r="G35" s="155">
        <f>+'Financial Statement Model'!F130</f>
        <v>713</v>
      </c>
      <c r="H35" s="155">
        <f>+'Financial Statement Model'!G130</f>
        <v>653</v>
      </c>
      <c r="I35" s="156">
        <f>+'Financial Statement Model'!H130</f>
        <v>664</v>
      </c>
      <c r="J35" s="155">
        <f ca="1">+'Financial Statement Model'!I130</f>
        <v>618.85696504766065</v>
      </c>
      <c r="K35" s="155">
        <f ca="1">+'Financial Statement Model'!J130</f>
        <v>585.36663296323047</v>
      </c>
      <c r="L35" s="155">
        <f ca="1">+'Financial Statement Model'!K130</f>
        <v>492.4425755669161</v>
      </c>
      <c r="M35" s="155">
        <f ca="1">+'Financial Statement Model'!L130</f>
        <v>498.63819156823286</v>
      </c>
      <c r="N35" s="296">
        <f ca="1">+'Financial Statement Model'!M130</f>
        <v>499.95522314949324</v>
      </c>
    </row>
    <row r="36" spans="2:14" x14ac:dyDescent="0.2">
      <c r="C36" s="97" t="s">
        <v>357</v>
      </c>
      <c r="D36" s="98"/>
      <c r="E36" s="444"/>
      <c r="F36" s="155">
        <f>'Financial Statement Model'!E165</f>
        <v>697</v>
      </c>
      <c r="G36" s="155">
        <f>'Financial Statement Model'!F165</f>
        <v>-134</v>
      </c>
      <c r="H36" s="155">
        <f>'Financial Statement Model'!G165</f>
        <v>103</v>
      </c>
      <c r="I36" s="156">
        <f>'Financial Statement Model'!H165</f>
        <v>-289</v>
      </c>
      <c r="J36" s="155">
        <f ca="1">'Financial Statement Model'!I165</f>
        <v>-96.79731213993</v>
      </c>
      <c r="K36" s="155">
        <f ca="1">'Financial Statement Model'!J165</f>
        <v>14.117133800355987</v>
      </c>
      <c r="L36" s="155">
        <f ca="1">'Financial Statement Model'!K165</f>
        <v>-23.779684458530028</v>
      </c>
      <c r="M36" s="155">
        <f ca="1">'Financial Statement Model'!L165</f>
        <v>-4.5070814315445205</v>
      </c>
      <c r="N36" s="296">
        <f ca="1">'Financial Statement Model'!M165</f>
        <v>-0.95809175123076784</v>
      </c>
    </row>
    <row r="37" spans="2:14" x14ac:dyDescent="0.2">
      <c r="C37" s="97" t="s">
        <v>70</v>
      </c>
      <c r="D37" s="98"/>
      <c r="E37" s="439">
        <f>+-'Financial Statement Model'!D120</f>
        <v>-405</v>
      </c>
      <c r="F37" s="155">
        <f>+-'Financial Statement Model'!E120</f>
        <v>-399</v>
      </c>
      <c r="G37" s="155">
        <f>+-'Financial Statement Model'!F120</f>
        <v>-379</v>
      </c>
      <c r="H37" s="155">
        <f>+-'Financial Statement Model'!G120</f>
        <v>-353</v>
      </c>
      <c r="I37" s="156">
        <f>+-'Financial Statement Model'!H120</f>
        <v>-390</v>
      </c>
      <c r="J37" s="155">
        <f>+-'Financial Statement Model'!I120</f>
        <v>-491.76</v>
      </c>
      <c r="K37" s="155">
        <f>+-'Financial Statement Model'!J120</f>
        <v>-671.6</v>
      </c>
      <c r="L37" s="155">
        <f>+-'Financial Statement Model'!K120</f>
        <v>-651</v>
      </c>
      <c r="M37" s="155">
        <f ca="1">+-'Financial Statement Model'!L120</f>
        <v>-659.19049005300542</v>
      </c>
      <c r="N37" s="296">
        <f ca="1">+-'Financial Statement Model'!M120</f>
        <v>-660.93158150598026</v>
      </c>
    </row>
    <row r="38" spans="2:14" x14ac:dyDescent="0.2">
      <c r="C38" s="101" t="s">
        <v>358</v>
      </c>
      <c r="D38" s="98"/>
      <c r="E38" s="445">
        <f>+-E37/E21</f>
        <v>3.4380305602716467E-2</v>
      </c>
      <c r="F38" s="282">
        <f t="shared" ref="F38:N38" si="7">+-F37/F21</f>
        <v>2.9518384256861728E-2</v>
      </c>
      <c r="G38" s="282">
        <f t="shared" si="7"/>
        <v>3.6112434492615531E-2</v>
      </c>
      <c r="H38" s="282">
        <f t="shared" si="7"/>
        <v>3.7665386256935551E-2</v>
      </c>
      <c r="I38" s="297">
        <f t="shared" si="7"/>
        <v>3.1358044544504304E-2</v>
      </c>
      <c r="J38" s="282">
        <f t="shared" ca="1" si="7"/>
        <v>3.9005705820609124E-2</v>
      </c>
      <c r="K38" s="282">
        <f t="shared" ca="1" si="7"/>
        <v>5.551887398039565E-2</v>
      </c>
      <c r="L38" s="282">
        <f t="shared" ca="1" si="7"/>
        <v>5.0243621013533885E-2</v>
      </c>
      <c r="M38" s="282">
        <f t="shared" ca="1" si="7"/>
        <v>5.0243621013533885E-2</v>
      </c>
      <c r="N38" s="268">
        <f t="shared" ca="1" si="7"/>
        <v>5.0243621013533878E-2</v>
      </c>
    </row>
    <row r="39" spans="2:14" x14ac:dyDescent="0.2">
      <c r="C39" s="97"/>
      <c r="D39" s="98"/>
      <c r="E39" s="438"/>
      <c r="I39" s="98"/>
      <c r="N39" s="99"/>
    </row>
    <row r="40" spans="2:14" x14ac:dyDescent="0.2">
      <c r="C40" s="298" t="s">
        <v>359</v>
      </c>
      <c r="D40" s="98"/>
      <c r="E40" s="443">
        <f t="shared" ref="E40:I40" si="8">+E33+E35-E36+E37</f>
        <v>1168.7894736842104</v>
      </c>
      <c r="F40" s="152">
        <f t="shared" si="8"/>
        <v>964.13538461538428</v>
      </c>
      <c r="G40" s="152">
        <f t="shared" si="8"/>
        <v>2211.0022831050228</v>
      </c>
      <c r="H40" s="152">
        <f t="shared" si="8"/>
        <v>153.94797687861274</v>
      </c>
      <c r="I40" s="153">
        <f t="shared" si="8"/>
        <v>1686.8365304420349</v>
      </c>
      <c r="J40" s="152">
        <f ca="1">+J33+J35-J36+J37</f>
        <v>1339.6314547924405</v>
      </c>
      <c r="K40" s="152">
        <f t="shared" ref="K40:N40" ca="1" si="9">+K33+K35-K36+K37</f>
        <v>970.19932107472812</v>
      </c>
      <c r="L40" s="152">
        <f ca="1">+L33+L35-L36+L37</f>
        <v>1011.8881742752321</v>
      </c>
      <c r="M40" s="152">
        <f t="shared" ca="1" si="9"/>
        <v>1005.0473573575154</v>
      </c>
      <c r="N40" s="154">
        <f t="shared" ca="1" si="9"/>
        <v>1004.141051619186</v>
      </c>
    </row>
    <row r="41" spans="2:14" x14ac:dyDescent="0.2">
      <c r="C41" s="97"/>
      <c r="D41" s="98"/>
      <c r="E41" s="438"/>
      <c r="I41" s="98"/>
      <c r="N41" s="99"/>
    </row>
    <row r="42" spans="2:14" x14ac:dyDescent="0.2">
      <c r="C42" s="299">
        <f>+D13</f>
        <v>44861</v>
      </c>
      <c r="D42" s="300"/>
      <c r="E42" s="446"/>
      <c r="F42" s="301"/>
      <c r="G42" s="301"/>
      <c r="H42" s="301"/>
      <c r="I42" s="300"/>
      <c r="J42" s="301"/>
      <c r="K42" s="301"/>
      <c r="L42" s="301"/>
      <c r="M42" s="301"/>
      <c r="N42" s="302"/>
    </row>
    <row r="43" spans="2:14" x14ac:dyDescent="0.2">
      <c r="C43" s="97"/>
      <c r="I43" s="190" t="s">
        <v>364</v>
      </c>
      <c r="J43" s="193" t="s">
        <v>365</v>
      </c>
      <c r="K43" s="303">
        <v>2</v>
      </c>
      <c r="L43" s="303">
        <f>+K43+1</f>
        <v>3</v>
      </c>
      <c r="M43" s="303">
        <f t="shared" ref="M43:N43" si="10">+L43+1</f>
        <v>4</v>
      </c>
      <c r="N43" s="304">
        <f t="shared" si="10"/>
        <v>5</v>
      </c>
    </row>
    <row r="44" spans="2:14" x14ac:dyDescent="0.2">
      <c r="C44" s="97" t="s">
        <v>362</v>
      </c>
      <c r="I44" s="164">
        <f>+D9</f>
        <v>44861</v>
      </c>
      <c r="J44" s="164">
        <f>+J19</f>
        <v>44926</v>
      </c>
      <c r="K44" s="164">
        <f>+K19</f>
        <v>45291</v>
      </c>
      <c r="L44" s="164">
        <f>+L19</f>
        <v>45657</v>
      </c>
      <c r="M44" s="164">
        <f>+M19</f>
        <v>46022</v>
      </c>
      <c r="N44" s="305">
        <f>+N19</f>
        <v>46387</v>
      </c>
    </row>
    <row r="45" spans="2:14" x14ac:dyDescent="0.2">
      <c r="C45" s="97" t="s">
        <v>363</v>
      </c>
      <c r="D45" s="282">
        <f>+D10</f>
        <v>0.17777777777777778</v>
      </c>
      <c r="J45" s="128">
        <f ca="1">+J40*D45</f>
        <v>238.15670307421166</v>
      </c>
      <c r="K45" s="128">
        <f ca="1">+K40</f>
        <v>970.19932107472812</v>
      </c>
      <c r="L45" s="128">
        <f ca="1">+L40</f>
        <v>1011.8881742752321</v>
      </c>
      <c r="M45" s="128">
        <f ca="1">+M40</f>
        <v>1005.0473573575154</v>
      </c>
      <c r="N45" s="129">
        <f ca="1">+N40</f>
        <v>1004.141051619186</v>
      </c>
    </row>
    <row r="46" spans="2:14" ht="17" thickBot="1" x14ac:dyDescent="0.25">
      <c r="C46" s="141" t="s">
        <v>366</v>
      </c>
      <c r="D46" s="62"/>
      <c r="E46" s="62"/>
      <c r="F46" s="62"/>
      <c r="G46" s="62"/>
      <c r="H46" s="62"/>
      <c r="I46" s="62"/>
      <c r="J46" s="170">
        <f ca="1">+J45/(1+$D$11)^((J44-$I$44)/365)</f>
        <v>234.57821140362523</v>
      </c>
      <c r="K46" s="170">
        <f ca="1">+K45/(1+$D$11)^((K44-$I$44)/365)</f>
        <v>877.73596417337262</v>
      </c>
      <c r="L46" s="170">
        <f ca="1">+L45/(1+$D$11)^((L44-$I$44)/365)</f>
        <v>840.64446427855614</v>
      </c>
      <c r="M46" s="170">
        <f ca="1">+M45/(1+$D$11)^((M44-$I$44)/365)</f>
        <v>766.91004990808779</v>
      </c>
      <c r="N46" s="172">
        <f ca="1">+N45/(1+$D$11)^((N44-$I$44)/365)</f>
        <v>703.76990502782212</v>
      </c>
    </row>
    <row r="47" spans="2:14" ht="17" thickBot="1" x14ac:dyDescent="0.25"/>
    <row r="48" spans="2:14" ht="17" thickBot="1" x14ac:dyDescent="0.25">
      <c r="B48" s="57" t="s">
        <v>0</v>
      </c>
      <c r="C48" s="306" t="s">
        <v>368</v>
      </c>
      <c r="D48" s="307"/>
      <c r="F48" s="306" t="s">
        <v>367</v>
      </c>
      <c r="G48" s="308"/>
      <c r="H48" s="308"/>
      <c r="I48" s="307"/>
      <c r="K48" s="306" t="s">
        <v>409</v>
      </c>
      <c r="L48" s="308"/>
      <c r="M48" s="308"/>
      <c r="N48" s="307"/>
    </row>
    <row r="49" spans="3:18" x14ac:dyDescent="0.2">
      <c r="C49" s="309" t="s">
        <v>377</v>
      </c>
      <c r="D49" s="310" t="s">
        <v>424</v>
      </c>
      <c r="E49" s="311"/>
      <c r="F49" s="340" t="s">
        <v>323</v>
      </c>
      <c r="G49" s="341"/>
      <c r="H49" s="341"/>
      <c r="I49" s="342">
        <f ca="1">D11</f>
        <v>8.873437188462488E-2</v>
      </c>
      <c r="K49" s="74" t="s">
        <v>323</v>
      </c>
      <c r="L49" s="75"/>
      <c r="M49" s="75"/>
      <c r="N49" s="356">
        <f ca="1">+WACC!D31</f>
        <v>8.873437188462488E-2</v>
      </c>
    </row>
    <row r="50" spans="3:18" x14ac:dyDescent="0.2">
      <c r="C50" s="309" t="s">
        <v>378</v>
      </c>
      <c r="D50" s="312">
        <v>44834</v>
      </c>
      <c r="E50" s="311"/>
      <c r="F50" s="337"/>
      <c r="G50" s="313"/>
      <c r="H50" s="313"/>
      <c r="I50" s="343"/>
      <c r="K50" s="97"/>
      <c r="N50" s="99"/>
    </row>
    <row r="51" spans="3:18" x14ac:dyDescent="0.2">
      <c r="C51" s="322" t="s">
        <v>373</v>
      </c>
      <c r="D51" s="99"/>
      <c r="E51" s="314"/>
      <c r="F51" s="337" t="s">
        <v>379</v>
      </c>
      <c r="I51" s="239">
        <f ca="1">SUM(J46:N46)</f>
        <v>3423.6385947914637</v>
      </c>
      <c r="K51" s="97" t="s">
        <v>379</v>
      </c>
      <c r="N51" s="129">
        <f ca="1">SUM(J46:N46)</f>
        <v>3423.6385947914637</v>
      </c>
    </row>
    <row r="52" spans="3:18" x14ac:dyDescent="0.2">
      <c r="C52" s="101" t="s">
        <v>369</v>
      </c>
      <c r="D52" s="315">
        <f>1+1725</f>
        <v>1726</v>
      </c>
      <c r="E52" s="102"/>
      <c r="F52" s="337" t="s">
        <v>380</v>
      </c>
      <c r="I52" s="344">
        <v>1E-3</v>
      </c>
      <c r="K52" s="97" t="s">
        <v>421</v>
      </c>
      <c r="N52" s="129">
        <f ca="1">N27</f>
        <v>1725.2884415106616</v>
      </c>
    </row>
    <row r="53" spans="3:18" x14ac:dyDescent="0.2">
      <c r="C53" s="101" t="s">
        <v>370</v>
      </c>
      <c r="D53" s="315">
        <v>0</v>
      </c>
      <c r="E53" s="102"/>
      <c r="F53" s="337" t="s">
        <v>381</v>
      </c>
      <c r="I53" s="239">
        <f ca="1">N45*(1+I52)</f>
        <v>1005.145192670805</v>
      </c>
      <c r="K53" s="97" t="s">
        <v>422</v>
      </c>
      <c r="N53" s="357">
        <f>+Comps!D17</f>
        <v>6.0391746629107965</v>
      </c>
      <c r="O53" s="57" t="s">
        <v>433</v>
      </c>
    </row>
    <row r="54" spans="3:18" x14ac:dyDescent="0.2">
      <c r="C54" s="101" t="s">
        <v>371</v>
      </c>
      <c r="D54" s="315">
        <v>0</v>
      </c>
      <c r="E54" s="102"/>
      <c r="F54" s="337" t="s">
        <v>382</v>
      </c>
      <c r="I54" s="239">
        <f ca="1">I53/(I49-I52)</f>
        <v>11456.686485344895</v>
      </c>
      <c r="K54" s="97" t="s">
        <v>410</v>
      </c>
      <c r="N54" s="358">
        <f ca="1">N53*N52</f>
        <v>10419.318242184043</v>
      </c>
    </row>
    <row r="55" spans="3:18" x14ac:dyDescent="0.2">
      <c r="C55" s="101" t="s">
        <v>372</v>
      </c>
      <c r="D55" s="315">
        <v>1521</v>
      </c>
      <c r="E55" s="102"/>
      <c r="F55" s="337" t="s">
        <v>411</v>
      </c>
      <c r="I55" s="239">
        <f ca="1">I54/(1+I49)^((N44-I44)/365)</f>
        <v>8029.6200884559612</v>
      </c>
      <c r="K55" s="97" t="s">
        <v>411</v>
      </c>
      <c r="N55" s="358">
        <f ca="1">N54/(1+N49)^((N44-I44)/365)</f>
        <v>7302.56232222785</v>
      </c>
    </row>
    <row r="56" spans="3:18" x14ac:dyDescent="0.2">
      <c r="C56" s="97"/>
      <c r="D56" s="315"/>
      <c r="F56" s="337"/>
      <c r="I56" s="338"/>
      <c r="K56" s="97"/>
      <c r="N56" s="99"/>
      <c r="P56" s="133"/>
      <c r="Q56" s="133"/>
      <c r="R56" s="133"/>
    </row>
    <row r="57" spans="3:18" x14ac:dyDescent="0.2">
      <c r="C57" s="322" t="s">
        <v>374</v>
      </c>
      <c r="D57" s="315"/>
      <c r="E57" s="314"/>
      <c r="F57" s="337" t="s">
        <v>413</v>
      </c>
      <c r="I57" s="239">
        <f ca="1">I55+I51</f>
        <v>11453.258683247424</v>
      </c>
      <c r="K57" s="97" t="s">
        <v>391</v>
      </c>
      <c r="N57" s="129">
        <f ca="1">N55+N51</f>
        <v>10726.200917019314</v>
      </c>
      <c r="O57" s="158"/>
      <c r="P57" s="133"/>
      <c r="Q57" s="133"/>
      <c r="R57" s="133"/>
    </row>
    <row r="58" spans="3:18" x14ac:dyDescent="0.2">
      <c r="C58" s="101" t="s">
        <v>375</v>
      </c>
      <c r="D58" s="315">
        <f>1432+227</f>
        <v>1659</v>
      </c>
      <c r="E58" s="102"/>
      <c r="F58" s="337" t="s">
        <v>368</v>
      </c>
      <c r="I58" s="239">
        <f>D61</f>
        <v>399</v>
      </c>
      <c r="K58" s="97" t="s">
        <v>368</v>
      </c>
      <c r="N58" s="129">
        <f>D61</f>
        <v>399</v>
      </c>
      <c r="O58" s="128"/>
    </row>
    <row r="59" spans="3:18" x14ac:dyDescent="0.2">
      <c r="C59" s="101" t="s">
        <v>376</v>
      </c>
      <c r="D59" s="296">
        <f>+'BS - FS'!F36</f>
        <v>1189</v>
      </c>
      <c r="E59" s="102"/>
      <c r="F59" s="337" t="s">
        <v>383</v>
      </c>
      <c r="I59" s="239">
        <f ca="1">I57-I58</f>
        <v>11054.258683247424</v>
      </c>
      <c r="K59" s="97" t="s">
        <v>383</v>
      </c>
      <c r="N59" s="129">
        <f ca="1">N57-N58</f>
        <v>10327.200917019314</v>
      </c>
    </row>
    <row r="60" spans="3:18" x14ac:dyDescent="0.2">
      <c r="C60" s="97"/>
      <c r="D60" s="315"/>
      <c r="F60" s="337" t="s">
        <v>384</v>
      </c>
      <c r="I60" s="436">
        <f>Comps!F7</f>
        <v>181.9</v>
      </c>
      <c r="K60" s="97" t="s">
        <v>384</v>
      </c>
      <c r="N60" s="437">
        <f>Comps!F7</f>
        <v>181.9</v>
      </c>
    </row>
    <row r="61" spans="3:18" ht="17" thickBot="1" x14ac:dyDescent="0.25">
      <c r="C61" s="141" t="s">
        <v>368</v>
      </c>
      <c r="D61" s="172">
        <f>SUM(D52:D55)-SUM(D58:D59)</f>
        <v>399</v>
      </c>
      <c r="E61" s="58"/>
      <c r="F61" s="337"/>
      <c r="I61" s="338"/>
      <c r="K61" s="97"/>
      <c r="N61" s="99"/>
    </row>
    <row r="62" spans="3:18" x14ac:dyDescent="0.2">
      <c r="F62" s="351" t="s">
        <v>385</v>
      </c>
      <c r="G62" s="352"/>
      <c r="H62" s="352"/>
      <c r="I62" s="353">
        <f ca="1">I59/I60</f>
        <v>60.771075773762639</v>
      </c>
      <c r="K62" s="359" t="s">
        <v>385</v>
      </c>
      <c r="L62" s="352"/>
      <c r="M62" s="352"/>
      <c r="N62" s="360">
        <f ca="1">N59/N60</f>
        <v>56.774056718083088</v>
      </c>
    </row>
    <row r="63" spans="3:18" x14ac:dyDescent="0.2">
      <c r="F63" s="337" t="s">
        <v>386</v>
      </c>
      <c r="I63" s="345">
        <f>D12</f>
        <v>41.41</v>
      </c>
      <c r="K63" s="97" t="s">
        <v>386</v>
      </c>
      <c r="N63" s="361">
        <f>D12</f>
        <v>41.41</v>
      </c>
    </row>
    <row r="64" spans="3:18" x14ac:dyDescent="0.2">
      <c r="C64" s="316"/>
      <c r="D64" s="316"/>
      <c r="F64" s="351" t="s">
        <v>387</v>
      </c>
      <c r="G64" s="352"/>
      <c r="H64" s="352"/>
      <c r="I64" s="354">
        <f ca="1">I62/I63-1</f>
        <v>0.46754590132244966</v>
      </c>
      <c r="K64" s="359" t="s">
        <v>387</v>
      </c>
      <c r="L64" s="352"/>
      <c r="M64" s="352"/>
      <c r="N64" s="362">
        <f ca="1">N62/N63-1</f>
        <v>0.37102286206431034</v>
      </c>
    </row>
    <row r="65" spans="2:15" ht="17" thickBot="1" x14ac:dyDescent="0.25">
      <c r="D65" s="317"/>
      <c r="F65" s="339" t="s">
        <v>388</v>
      </c>
      <c r="G65" s="346"/>
      <c r="H65" s="346"/>
      <c r="I65" s="347">
        <f ca="1">I54/N27</f>
        <v>6.640447017261315</v>
      </c>
      <c r="K65" s="220" t="s">
        <v>412</v>
      </c>
      <c r="L65" s="62"/>
      <c r="M65" s="62"/>
      <c r="N65" s="117">
        <f ca="1">(N54*N49-N45)/(N54+N45)</f>
        <v>-6.9671882996199929E-3</v>
      </c>
    </row>
    <row r="67" spans="2:15" ht="17" thickBot="1" x14ac:dyDescent="0.25">
      <c r="B67" s="57" t="s">
        <v>0</v>
      </c>
      <c r="C67" s="323" t="s">
        <v>420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2:15" x14ac:dyDescent="0.2">
      <c r="D68" s="128"/>
    </row>
    <row r="69" spans="2:15" x14ac:dyDescent="0.2">
      <c r="D69" s="128"/>
      <c r="E69" s="336" t="s">
        <v>323</v>
      </c>
      <c r="F69" s="313"/>
      <c r="G69" s="313"/>
      <c r="H69" s="313"/>
      <c r="I69" s="313"/>
      <c r="J69" s="336"/>
      <c r="K69" s="313"/>
      <c r="L69" s="313"/>
      <c r="M69" s="313"/>
      <c r="N69" s="313"/>
      <c r="O69" s="313"/>
    </row>
    <row r="70" spans="2:15" ht="17" thickBot="1" x14ac:dyDescent="0.25">
      <c r="D70" s="335">
        <f ca="1">+N62</f>
        <v>56.774056718083088</v>
      </c>
      <c r="E70" s="157">
        <f t="shared" ref="E70:H70" si="11">F70-0.002</f>
        <v>7.8999999999999987E-2</v>
      </c>
      <c r="F70" s="157">
        <f t="shared" si="11"/>
        <v>8.0999999999999989E-2</v>
      </c>
      <c r="G70" s="157">
        <f t="shared" si="11"/>
        <v>8.299999999999999E-2</v>
      </c>
      <c r="H70" s="157">
        <f t="shared" si="11"/>
        <v>8.4999999999999992E-2</v>
      </c>
      <c r="I70" s="157">
        <f>J70-0.002</f>
        <v>8.6999999999999994E-2</v>
      </c>
      <c r="J70" s="157">
        <f>0.089</f>
        <v>8.8999999999999996E-2</v>
      </c>
      <c r="K70" s="157">
        <f>+J70+0.002</f>
        <v>9.0999999999999998E-2</v>
      </c>
      <c r="L70" s="157">
        <f t="shared" ref="L70:O70" si="12">+K70+0.002</f>
        <v>9.2999999999999999E-2</v>
      </c>
      <c r="M70" s="157">
        <f t="shared" si="12"/>
        <v>9.5000000000000001E-2</v>
      </c>
      <c r="N70" s="157">
        <f t="shared" si="12"/>
        <v>9.7000000000000003E-2</v>
      </c>
      <c r="O70" s="157">
        <f t="shared" si="12"/>
        <v>9.9000000000000005E-2</v>
      </c>
    </row>
    <row r="71" spans="2:15" x14ac:dyDescent="0.2">
      <c r="D71" s="324">
        <f t="shared" ref="D71:D74" si="13">D72+0.05</f>
        <v>6.2899999999999991</v>
      </c>
      <c r="E71" s="370">
        <f t="dataTable" ref="E71:O81" dt2D="1" dtr="1" r1="D11" r2="N53" ca="1"/>
        <v>58.856463732798396</v>
      </c>
      <c r="F71" s="371">
        <v>58.769955366745684</v>
      </c>
      <c r="G71" s="371">
        <v>58.684093989160786</v>
      </c>
      <c r="H71" s="371">
        <v>58.598873259562822</v>
      </c>
      <c r="I71" s="371">
        <v>58.51428691305027</v>
      </c>
      <c r="J71" s="371">
        <v>58.430328759247892</v>
      </c>
      <c r="K71" s="371">
        <v>58.34699268127018</v>
      </c>
      <c r="L71" s="371">
        <v>58.264272634701477</v>
      </c>
      <c r="M71" s="371">
        <v>58.182162646592097</v>
      </c>
      <c r="N71" s="371">
        <v>58.100656814470284</v>
      </c>
      <c r="O71" s="372">
        <v>58.019749305369807</v>
      </c>
    </row>
    <row r="72" spans="2:15" x14ac:dyDescent="0.2">
      <c r="D72" s="324">
        <f t="shared" si="13"/>
        <v>6.2399999999999993</v>
      </c>
      <c r="E72" s="373">
        <v>58.524083653558179</v>
      </c>
      <c r="F72" s="330">
        <v>58.437575287505453</v>
      </c>
      <c r="G72" s="330">
        <v>58.351713909920569</v>
      </c>
      <c r="H72" s="330">
        <v>58.266493180322591</v>
      </c>
      <c r="I72" s="330">
        <v>58.181906833810046</v>
      </c>
      <c r="J72" s="330">
        <v>58.097948680007661</v>
      </c>
      <c r="K72" s="330">
        <v>58.014612602029949</v>
      </c>
      <c r="L72" s="330">
        <v>57.931892555461253</v>
      </c>
      <c r="M72" s="330">
        <v>57.84978256735188</v>
      </c>
      <c r="N72" s="330">
        <v>57.768276735230067</v>
      </c>
      <c r="O72" s="374">
        <v>57.68736922612959</v>
      </c>
    </row>
    <row r="73" spans="2:15" x14ac:dyDescent="0.2">
      <c r="D73" s="324">
        <f t="shared" si="13"/>
        <v>6.1899999999999995</v>
      </c>
      <c r="E73" s="373">
        <v>58.191703574317962</v>
      </c>
      <c r="F73" s="330">
        <v>58.105195208265243</v>
      </c>
      <c r="G73" s="330">
        <v>58.019333830680353</v>
      </c>
      <c r="H73" s="330">
        <v>57.934113101082389</v>
      </c>
      <c r="I73" s="330">
        <v>57.849526754569837</v>
      </c>
      <c r="J73" s="330">
        <v>57.765568600767452</v>
      </c>
      <c r="K73" s="330">
        <v>57.682232522789739</v>
      </c>
      <c r="L73" s="330">
        <v>57.599512476221044</v>
      </c>
      <c r="M73" s="330">
        <v>57.517402488111664</v>
      </c>
      <c r="N73" s="330">
        <v>57.435896655989851</v>
      </c>
      <c r="O73" s="374">
        <v>57.354989146889373</v>
      </c>
    </row>
    <row r="74" spans="2:15" x14ac:dyDescent="0.2">
      <c r="D74" s="324">
        <f t="shared" si="13"/>
        <v>6.14</v>
      </c>
      <c r="E74" s="373">
        <v>57.859323495077746</v>
      </c>
      <c r="F74" s="330">
        <v>57.772815129025027</v>
      </c>
      <c r="G74" s="330">
        <v>57.686953751440136</v>
      </c>
      <c r="H74" s="326">
        <v>57.601733021842158</v>
      </c>
      <c r="I74" s="327">
        <v>57.51714667532962</v>
      </c>
      <c r="J74" s="327">
        <v>57.433188521527228</v>
      </c>
      <c r="K74" s="327">
        <v>57.349852443549523</v>
      </c>
      <c r="L74" s="328">
        <v>57.267132396980827</v>
      </c>
      <c r="M74" s="330">
        <v>57.185022408871454</v>
      </c>
      <c r="N74" s="330">
        <v>57.103516576749634</v>
      </c>
      <c r="O74" s="374">
        <v>57.022609067649157</v>
      </c>
    </row>
    <row r="75" spans="2:15" x14ac:dyDescent="0.2">
      <c r="D75" s="324">
        <f>D76+0.05</f>
        <v>6.09</v>
      </c>
      <c r="E75" s="373">
        <v>57.526943415837536</v>
      </c>
      <c r="F75" s="330">
        <v>57.44043504978481</v>
      </c>
      <c r="G75" s="330">
        <v>57.354573672199926</v>
      </c>
      <c r="H75" s="329">
        <v>57.269352942601948</v>
      </c>
      <c r="I75" s="330">
        <v>57.184766596089396</v>
      </c>
      <c r="J75" s="330">
        <v>57.100808442287018</v>
      </c>
      <c r="K75" s="330">
        <v>57.017472364309306</v>
      </c>
      <c r="L75" s="331">
        <v>56.934752317740603</v>
      </c>
      <c r="M75" s="330">
        <v>56.85264232963123</v>
      </c>
      <c r="N75" s="330">
        <v>56.771136497509424</v>
      </c>
      <c r="O75" s="374">
        <v>56.690228988408947</v>
      </c>
    </row>
    <row r="76" spans="2:15" x14ac:dyDescent="0.2">
      <c r="C76" s="193" t="s">
        <v>396</v>
      </c>
      <c r="D76" s="324">
        <v>6.04</v>
      </c>
      <c r="E76" s="373">
        <v>57.194563336597305</v>
      </c>
      <c r="F76" s="330">
        <v>57.108054970544593</v>
      </c>
      <c r="G76" s="330">
        <v>57.022193592959695</v>
      </c>
      <c r="H76" s="329">
        <v>56.936972863361724</v>
      </c>
      <c r="I76" s="330">
        <v>56.85238651684918</v>
      </c>
      <c r="J76" s="325">
        <v>56.768428363046787</v>
      </c>
      <c r="K76" s="330">
        <v>56.685092285069089</v>
      </c>
      <c r="L76" s="331">
        <v>56.602372238500386</v>
      </c>
      <c r="M76" s="330">
        <v>56.520262250391013</v>
      </c>
      <c r="N76" s="330">
        <v>56.438756418269193</v>
      </c>
      <c r="O76" s="374">
        <v>56.357848909168716</v>
      </c>
    </row>
    <row r="77" spans="2:15" x14ac:dyDescent="0.2">
      <c r="D77" s="324">
        <f>+D76-0.05</f>
        <v>5.99</v>
      </c>
      <c r="E77" s="373">
        <v>56.862183257357096</v>
      </c>
      <c r="F77" s="330">
        <v>56.775674891304369</v>
      </c>
      <c r="G77" s="330">
        <v>56.689813513719486</v>
      </c>
      <c r="H77" s="329">
        <v>56.604592784121515</v>
      </c>
      <c r="I77" s="330">
        <v>56.520006437608963</v>
      </c>
      <c r="J77" s="330">
        <v>56.436048283806578</v>
      </c>
      <c r="K77" s="330">
        <v>56.352712205828865</v>
      </c>
      <c r="L77" s="331">
        <v>56.26999215926017</v>
      </c>
      <c r="M77" s="330">
        <v>56.187882171150797</v>
      </c>
      <c r="N77" s="330">
        <v>56.106376339028984</v>
      </c>
      <c r="O77" s="374">
        <v>56.025468829928506</v>
      </c>
    </row>
    <row r="78" spans="2:15" x14ac:dyDescent="0.2">
      <c r="D78" s="324">
        <f t="shared" ref="D78:D81" si="14">+D77-0.05</f>
        <v>5.94</v>
      </c>
      <c r="E78" s="373">
        <v>56.529803178116879</v>
      </c>
      <c r="F78" s="330">
        <v>56.44329481206416</v>
      </c>
      <c r="G78" s="330">
        <v>56.357433434479262</v>
      </c>
      <c r="H78" s="332">
        <v>56.272212704881291</v>
      </c>
      <c r="I78" s="333">
        <v>56.187626358368753</v>
      </c>
      <c r="J78" s="333">
        <v>56.103668204566361</v>
      </c>
      <c r="K78" s="333">
        <v>56.020332126588649</v>
      </c>
      <c r="L78" s="334">
        <v>55.93761208001996</v>
      </c>
      <c r="M78" s="330">
        <v>55.85550209191058</v>
      </c>
      <c r="N78" s="330">
        <v>55.773996259788767</v>
      </c>
      <c r="O78" s="374">
        <v>55.69308875068829</v>
      </c>
    </row>
    <row r="79" spans="2:15" x14ac:dyDescent="0.2">
      <c r="D79" s="324">
        <f t="shared" si="14"/>
        <v>5.8900000000000006</v>
      </c>
      <c r="E79" s="373">
        <v>56.197423098876662</v>
      </c>
      <c r="F79" s="330">
        <v>56.110914732823943</v>
      </c>
      <c r="G79" s="330">
        <v>56.025053355239052</v>
      </c>
      <c r="H79" s="330">
        <v>55.939832625641074</v>
      </c>
      <c r="I79" s="330">
        <v>55.855246279128536</v>
      </c>
      <c r="J79" s="330">
        <v>55.771288125326144</v>
      </c>
      <c r="K79" s="330">
        <v>55.687952047348439</v>
      </c>
      <c r="L79" s="330">
        <v>55.605232000779743</v>
      </c>
      <c r="M79" s="330">
        <v>55.52312201267037</v>
      </c>
      <c r="N79" s="330">
        <v>55.44161618054855</v>
      </c>
      <c r="O79" s="374">
        <v>55.360708671448073</v>
      </c>
    </row>
    <row r="80" spans="2:15" x14ac:dyDescent="0.2">
      <c r="D80" s="324">
        <f t="shared" si="14"/>
        <v>5.8400000000000007</v>
      </c>
      <c r="E80" s="373">
        <v>55.865043019636445</v>
      </c>
      <c r="F80" s="330">
        <v>55.778534653583726</v>
      </c>
      <c r="G80" s="330">
        <v>55.692673275998835</v>
      </c>
      <c r="H80" s="330">
        <v>55.607452546400864</v>
      </c>
      <c r="I80" s="330">
        <v>55.52286619988832</v>
      </c>
      <c r="J80" s="330">
        <v>55.438908046085935</v>
      </c>
      <c r="K80" s="330">
        <v>55.355571968108222</v>
      </c>
      <c r="L80" s="330">
        <v>55.272851921539527</v>
      </c>
      <c r="M80" s="330">
        <v>55.190741933430139</v>
      </c>
      <c r="N80" s="330">
        <v>55.109236101308333</v>
      </c>
      <c r="O80" s="374">
        <v>55.028328592207856</v>
      </c>
    </row>
    <row r="81" spans="3:15" ht="17" thickBot="1" x14ac:dyDescent="0.25">
      <c r="D81" s="324">
        <f t="shared" si="14"/>
        <v>5.7900000000000009</v>
      </c>
      <c r="E81" s="375">
        <v>55.532662940396236</v>
      </c>
      <c r="F81" s="376">
        <v>55.446154574343517</v>
      </c>
      <c r="G81" s="376">
        <v>55.360293196758612</v>
      </c>
      <c r="H81" s="376">
        <v>55.275072467160648</v>
      </c>
      <c r="I81" s="376">
        <v>55.19048612064811</v>
      </c>
      <c r="J81" s="376">
        <v>55.106527966845718</v>
      </c>
      <c r="K81" s="376">
        <v>55.023191888868006</v>
      </c>
      <c r="L81" s="376">
        <v>54.940471842299317</v>
      </c>
      <c r="M81" s="376">
        <v>54.85836185418993</v>
      </c>
      <c r="N81" s="376">
        <v>54.776856022068124</v>
      </c>
      <c r="O81" s="377">
        <v>54.695948512967647</v>
      </c>
    </row>
    <row r="82" spans="3:15" x14ac:dyDescent="0.2">
      <c r="D82" s="324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</row>
    <row r="83" spans="3:15" x14ac:dyDescent="0.2">
      <c r="D83" s="324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</row>
    <row r="84" spans="3:15" x14ac:dyDescent="0.2">
      <c r="D84" s="291"/>
      <c r="E84" s="336" t="s">
        <v>323</v>
      </c>
      <c r="F84" s="336"/>
      <c r="G84" s="336"/>
      <c r="H84" s="336"/>
      <c r="I84" s="336"/>
      <c r="J84" s="336"/>
      <c r="K84" s="336"/>
      <c r="L84" s="336"/>
      <c r="M84" s="336"/>
      <c r="N84" s="336"/>
      <c r="O84" s="336"/>
    </row>
    <row r="85" spans="3:15" ht="17" thickBot="1" x14ac:dyDescent="0.25">
      <c r="D85" s="355">
        <f ca="1">+I62</f>
        <v>60.771075773762639</v>
      </c>
      <c r="E85" s="157">
        <f t="shared" ref="E85:H85" si="15">+F85-0.002</f>
        <v>7.8999999999999987E-2</v>
      </c>
      <c r="F85" s="157">
        <f t="shared" si="15"/>
        <v>8.0999999999999989E-2</v>
      </c>
      <c r="G85" s="157">
        <f t="shared" si="15"/>
        <v>8.299999999999999E-2</v>
      </c>
      <c r="H85" s="157">
        <f t="shared" si="15"/>
        <v>8.4999999999999992E-2</v>
      </c>
      <c r="I85" s="157">
        <f>+J85-0.002</f>
        <v>8.6999999999999994E-2</v>
      </c>
      <c r="J85" s="157">
        <v>8.8999999999999996E-2</v>
      </c>
      <c r="K85" s="157">
        <f>+J85+0.002</f>
        <v>9.0999999999999998E-2</v>
      </c>
      <c r="L85" s="157">
        <f t="shared" ref="L85:O85" si="16">+K85+0.002</f>
        <v>9.2999999999999999E-2</v>
      </c>
      <c r="M85" s="157">
        <f t="shared" si="16"/>
        <v>9.5000000000000001E-2</v>
      </c>
      <c r="N85" s="157">
        <f t="shared" si="16"/>
        <v>9.7000000000000003E-2</v>
      </c>
      <c r="O85" s="157">
        <f t="shared" si="16"/>
        <v>9.9000000000000005E-2</v>
      </c>
    </row>
    <row r="86" spans="3:15" x14ac:dyDescent="0.2">
      <c r="D86" s="103">
        <f t="shared" ref="D86:D89" si="17">+D87+0.002</f>
        <v>1.1000000000000001E-2</v>
      </c>
      <c r="E86" s="370">
        <f t="dataTable" ref="E86:O96" dt2D="1" dtr="1" r1="D11" r2="I52" ca="1"/>
        <v>76.766857202806221</v>
      </c>
      <c r="F86" s="371">
        <v>74.526502531916293</v>
      </c>
      <c r="G86" s="371">
        <v>72.410602861138813</v>
      </c>
      <c r="H86" s="371">
        <v>70.409067494642684</v>
      </c>
      <c r="I86" s="371">
        <v>68.512867911607287</v>
      </c>
      <c r="J86" s="371">
        <v>66.713901589988012</v>
      </c>
      <c r="K86" s="371">
        <v>65.004876256715932</v>
      </c>
      <c r="L86" s="371">
        <v>63.379211076892261</v>
      </c>
      <c r="M86" s="371">
        <v>61.830951958811269</v>
      </c>
      <c r="N86" s="371">
        <v>60.354698676886407</v>
      </c>
      <c r="O86" s="372">
        <v>58.945541932358601</v>
      </c>
    </row>
    <row r="87" spans="3:15" x14ac:dyDescent="0.2">
      <c r="D87" s="103">
        <f t="shared" si="17"/>
        <v>9.0000000000000011E-3</v>
      </c>
      <c r="E87" s="373">
        <v>74.945690374317806</v>
      </c>
      <c r="F87" s="330">
        <v>72.816613313721703</v>
      </c>
      <c r="G87" s="330">
        <v>70.802622097213629</v>
      </c>
      <c r="H87" s="330">
        <v>68.894631165297156</v>
      </c>
      <c r="I87" s="330">
        <v>67.084486808127537</v>
      </c>
      <c r="J87" s="330">
        <v>65.364850684342997</v>
      </c>
      <c r="K87" s="330">
        <v>63.729100385920141</v>
      </c>
      <c r="L87" s="330">
        <v>62.171244208049622</v>
      </c>
      <c r="M87" s="330">
        <v>60.685847811586591</v>
      </c>
      <c r="N87" s="330">
        <v>59.267970886075631</v>
      </c>
      <c r="O87" s="374">
        <v>57.913112257705265</v>
      </c>
    </row>
    <row r="88" spans="3:15" x14ac:dyDescent="0.2">
      <c r="D88" s="103">
        <f t="shared" si="17"/>
        <v>7.0000000000000001E-3</v>
      </c>
      <c r="E88" s="373">
        <v>73.225699480745405</v>
      </c>
      <c r="F88" s="330">
        <v>71.19915053975383</v>
      </c>
      <c r="G88" s="330">
        <v>69.279271899810794</v>
      </c>
      <c r="H88" s="330">
        <v>67.45785823745652</v>
      </c>
      <c r="I88" s="330">
        <v>65.727524759821776</v>
      </c>
      <c r="J88" s="330">
        <v>64.081607139948957</v>
      </c>
      <c r="K88" s="330">
        <v>62.514075747066997</v>
      </c>
      <c r="L88" s="330">
        <v>61.019461844734522</v>
      </c>
      <c r="M88" s="330">
        <v>59.592793852872106</v>
      </c>
      <c r="N88" s="330">
        <v>58.22954210818979</v>
      </c>
      <c r="O88" s="374">
        <v>56.925570829775985</v>
      </c>
    </row>
    <row r="89" spans="3:15" x14ac:dyDescent="0.2">
      <c r="D89" s="103">
        <f t="shared" si="17"/>
        <v>5.0000000000000001E-3</v>
      </c>
      <c r="E89" s="373">
        <v>71.598681067906639</v>
      </c>
      <c r="F89" s="330">
        <v>69.666817385468491</v>
      </c>
      <c r="G89" s="330">
        <v>67.834042225351695</v>
      </c>
      <c r="H89" s="326">
        <v>66.092923956007922</v>
      </c>
      <c r="I89" s="327">
        <v>64.436755982165067</v>
      </c>
      <c r="J89" s="327">
        <v>62.859470431002237</v>
      </c>
      <c r="K89" s="327">
        <v>61.355563882113998</v>
      </c>
      <c r="L89" s="328">
        <v>59.920033225206467</v>
      </c>
      <c r="M89" s="330">
        <v>58.54832007010048</v>
      </c>
      <c r="N89" s="330">
        <v>57.23626240760332</v>
      </c>
      <c r="O89" s="374">
        <v>55.980052441333058</v>
      </c>
    </row>
    <row r="90" spans="3:15" x14ac:dyDescent="0.2">
      <c r="D90" s="103">
        <f>+D91+0.002</f>
        <v>3.0000000000000001E-3</v>
      </c>
      <c r="E90" s="373">
        <v>70.05729520311202</v>
      </c>
      <c r="F90" s="330">
        <v>68.21306541858236</v>
      </c>
      <c r="G90" s="330">
        <v>66.461074034615535</v>
      </c>
      <c r="H90" s="329">
        <v>64.794571834629977</v>
      </c>
      <c r="I90" s="330">
        <v>63.207452384396767</v>
      </c>
      <c r="J90" s="330">
        <v>61.694177289913512</v>
      </c>
      <c r="K90" s="330">
        <v>60.249711647386128</v>
      </c>
      <c r="L90" s="331">
        <v>58.869468099879668</v>
      </c>
      <c r="M90" s="330">
        <v>57.549258190927624</v>
      </c>
      <c r="N90" s="330">
        <v>56.285249928318393</v>
      </c>
      <c r="O90" s="374">
        <v>55.073930652408585</v>
      </c>
    </row>
    <row r="91" spans="3:15" x14ac:dyDescent="0.2">
      <c r="C91" s="193" t="s">
        <v>418</v>
      </c>
      <c r="D91" s="103">
        <v>1E-3</v>
      </c>
      <c r="E91" s="373">
        <v>68.594954767281237</v>
      </c>
      <c r="F91" s="330">
        <v>66.832001050040574</v>
      </c>
      <c r="G91" s="330">
        <v>65.155079901964086</v>
      </c>
      <c r="H91" s="329">
        <v>63.558046004746224</v>
      </c>
      <c r="I91" s="330">
        <v>62.03532569815259</v>
      </c>
      <c r="J91" s="325">
        <v>60.581852018874272</v>
      </c>
      <c r="K91" s="330">
        <v>59.193008400868393</v>
      </c>
      <c r="L91" s="331">
        <v>57.864579719132301</v>
      </c>
      <c r="M91" s="330">
        <v>56.592709583208929</v>
      </c>
      <c r="N91" s="330">
        <v>55.373862969003689</v>
      </c>
      <c r="O91" s="374">
        <v>54.204793426297364</v>
      </c>
    </row>
    <row r="92" spans="3:15" x14ac:dyDescent="0.2">
      <c r="D92" s="103">
        <f>+D91-0.002</f>
        <v>-1E-3</v>
      </c>
      <c r="E92" s="373">
        <v>67.205731353241987</v>
      </c>
      <c r="F92" s="330">
        <v>65.518305675086182</v>
      </c>
      <c r="G92" s="330">
        <v>63.911275966105563</v>
      </c>
      <c r="H92" s="329">
        <v>62.379033004159396</v>
      </c>
      <c r="I92" s="330">
        <v>60.916477497646774</v>
      </c>
      <c r="J92" s="330">
        <v>59.518963426547899</v>
      </c>
      <c r="K92" s="330">
        <v>58.182248773764478</v>
      </c>
      <c r="L92" s="331">
        <v>56.902452546076319</v>
      </c>
      <c r="M92" s="330">
        <v>55.676017167478534</v>
      </c>
      <c r="N92" s="330">
        <v>54.499675477416112</v>
      </c>
      <c r="O92" s="374">
        <v>53.370421689230575</v>
      </c>
    </row>
    <row r="93" spans="3:15" x14ac:dyDescent="0.2">
      <c r="D93" s="103">
        <f t="shared" ref="D93:D96" si="18">+D92-0.002</f>
        <v>-3.0000000000000001E-3</v>
      </c>
      <c r="E93" s="373">
        <v>65.884274935009529</v>
      </c>
      <c r="F93" s="330">
        <v>64.267167222748668</v>
      </c>
      <c r="G93" s="330">
        <v>62.725323376100931</v>
      </c>
      <c r="H93" s="332">
        <v>61.253611503599238</v>
      </c>
      <c r="I93" s="333">
        <v>59.847355883830119</v>
      </c>
      <c r="J93" s="333">
        <v>58.50228738171397</v>
      </c>
      <c r="K93" s="333">
        <v>57.214500194622424</v>
      </c>
      <c r="L93" s="334">
        <v>55.98041400523099</v>
      </c>
      <c r="M93" s="330">
        <v>54.796740768716724</v>
      </c>
      <c r="N93" s="330">
        <v>53.660455485492029</v>
      </c>
      <c r="O93" s="374">
        <v>52.568770412440934</v>
      </c>
    </row>
    <row r="94" spans="3:15" x14ac:dyDescent="0.2">
      <c r="D94" s="103">
        <f t="shared" si="18"/>
        <v>-5.0000000000000001E-3</v>
      </c>
      <c r="E94" s="373">
        <v>64.625745012883371</v>
      </c>
      <c r="F94" s="330">
        <v>63.074221256566389</v>
      </c>
      <c r="G94" s="330">
        <v>61.593277722005581</v>
      </c>
      <c r="H94" s="330">
        <v>60.178208736397309</v>
      </c>
      <c r="I94" s="330">
        <v>58.824717818440249</v>
      </c>
      <c r="J94" s="330">
        <v>57.528874147298502</v>
      </c>
      <c r="K94" s="330">
        <v>56.287074472944617</v>
      </c>
      <c r="L94" s="330">
        <v>55.096009690542608</v>
      </c>
      <c r="M94" s="330">
        <v>53.95263542590537</v>
      </c>
      <c r="N94" s="330">
        <v>52.85414608148654</v>
      </c>
      <c r="O94" s="374">
        <v>51.797951877066261</v>
      </c>
    </row>
    <row r="95" spans="3:15" x14ac:dyDescent="0.2">
      <c r="D95" s="103">
        <f t="shared" si="18"/>
        <v>-7.0000000000000001E-3</v>
      </c>
      <c r="E95" s="373">
        <v>63.425751366204963</v>
      </c>
      <c r="F95" s="330">
        <v>61.935500107028759</v>
      </c>
      <c r="G95" s="330">
        <v>60.511545208092251</v>
      </c>
      <c r="H95" s="330">
        <v>59.149562611247632</v>
      </c>
      <c r="I95" s="330">
        <v>57.845596266471247</v>
      </c>
      <c r="J95" s="330">
        <v>56.596019797650342</v>
      </c>
      <c r="K95" s="330">
        <v>55.397502862355701</v>
      </c>
      <c r="L95" s="330">
        <v>54.246981548441781</v>
      </c>
      <c r="M95" s="330">
        <v>53.141632253400346</v>
      </c>
      <c r="N95" s="330">
        <v>52.078848577635121</v>
      </c>
      <c r="O95" s="374">
        <v>51.056220833592533</v>
      </c>
    </row>
    <row r="96" spans="3:15" ht="17" thickBot="1" x14ac:dyDescent="0.25">
      <c r="D96" s="103">
        <f t="shared" si="18"/>
        <v>-9.0000000000000011E-3</v>
      </c>
      <c r="E96" s="375">
        <v>62.280302885284641</v>
      </c>
      <c r="F96" s="376">
        <v>60.847388786359453</v>
      </c>
      <c r="G96" s="376">
        <v>59.476844542609939</v>
      </c>
      <c r="H96" s="376">
        <v>58.164688661636248</v>
      </c>
      <c r="I96" s="376">
        <v>56.907271445834269</v>
      </c>
      <c r="J96" s="376">
        <v>55.701241135742926</v>
      </c>
      <c r="K96" s="376">
        <v>54.543514116190352</v>
      </c>
      <c r="L96" s="376">
        <v>53.431248627599793</v>
      </c>
      <c r="M96" s="376">
        <v>52.361821510607058</v>
      </c>
      <c r="N96" s="376">
        <v>51.332807583362985</v>
      </c>
      <c r="O96" s="377">
        <v>50.341961310247456</v>
      </c>
    </row>
    <row r="97" spans="4:4" x14ac:dyDescent="0.2">
      <c r="D97" s="282"/>
    </row>
  </sheetData>
  <dataConsolidate/>
  <conditionalFormatting sqref="E71:O8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O9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IS - FS</vt:lpstr>
      <vt:lpstr>BS - FS</vt:lpstr>
      <vt:lpstr>CFS - FS</vt:lpstr>
      <vt:lpstr>Historical Rev. - % - FS</vt:lpstr>
      <vt:lpstr>Assumptions</vt:lpstr>
      <vt:lpstr>Revenue Build</vt:lpstr>
      <vt:lpstr>Financial Statement Model</vt:lpstr>
      <vt:lpstr>WACC</vt:lpstr>
      <vt:lpstr>Comps</vt:lpstr>
      <vt:lpstr>DCF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2022-11-02T01:02:44Z</cp:lastPrinted>
  <dcterms:created xsi:type="dcterms:W3CDTF">2022-10-13T15:56:30Z</dcterms:created>
  <dcterms:modified xsi:type="dcterms:W3CDTF">2023-01-06T23:17:58Z</dcterms:modified>
</cp:coreProperties>
</file>